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7 - JULIO\"/>
    </mc:Choice>
  </mc:AlternateContent>
  <xr:revisionPtr revIDLastSave="0" documentId="13_ncr:1_{87E44532-BCD9-4662-91C7-5887B377C713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JULIO 24" sheetId="2" r:id="rId1"/>
  </sheets>
  <definedNames>
    <definedName name="_xlnm.Print_Titles" localSheetId="0">'EJECUCIÓN INGRESOS 31 JULIO 24'!$1:$5</definedName>
  </definedNames>
  <calcPr calcId="152511"/>
</workbook>
</file>

<file path=xl/calcChain.xml><?xml version="1.0" encoding="utf-8"?>
<calcChain xmlns="http://schemas.openxmlformats.org/spreadsheetml/2006/main">
  <c r="B146" i="2" l="1"/>
  <c r="C146" i="2"/>
  <c r="D146" i="2"/>
  <c r="J146" i="2"/>
  <c r="N146" i="2"/>
  <c r="P146" i="2"/>
  <c r="B165" i="2" l="1"/>
  <c r="C165" i="2"/>
  <c r="D165" i="2"/>
  <c r="B166" i="2"/>
  <c r="C166" i="2"/>
  <c r="D166" i="2"/>
  <c r="B167" i="2"/>
  <c r="C167" i="2"/>
  <c r="D167" i="2"/>
  <c r="N165" i="2"/>
  <c r="N166" i="2"/>
  <c r="N167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B174" i="2" l="1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D173" i="2"/>
  <c r="C173" i="2"/>
  <c r="B173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D133" i="2"/>
  <c r="C133" i="2"/>
  <c r="B133" i="2"/>
  <c r="P151" i="2" l="1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8" i="2"/>
  <c r="P169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8" i="2"/>
  <c r="N169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8" i="2"/>
  <c r="J169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J129" i="2" l="1"/>
  <c r="J130" i="2"/>
  <c r="J131" i="2"/>
  <c r="J132" i="2"/>
  <c r="J133" i="2"/>
  <c r="N129" i="2"/>
  <c r="N130" i="2"/>
  <c r="N131" i="2"/>
  <c r="N132" i="2"/>
  <c r="N133" i="2"/>
  <c r="P129" i="2"/>
  <c r="P130" i="2"/>
  <c r="P131" i="2"/>
  <c r="P132" i="2"/>
  <c r="P133" i="2"/>
  <c r="P174" i="2" l="1"/>
  <c r="P175" i="2"/>
  <c r="P176" i="2"/>
  <c r="P177" i="2"/>
  <c r="P178" i="2"/>
  <c r="P179" i="2"/>
  <c r="P180" i="2"/>
  <c r="P173" i="2"/>
  <c r="O181" i="2"/>
  <c r="N174" i="2"/>
  <c r="N175" i="2"/>
  <c r="N176" i="2"/>
  <c r="N177" i="2"/>
  <c r="N178" i="2"/>
  <c r="N179" i="2"/>
  <c r="N180" i="2"/>
  <c r="N173" i="2"/>
  <c r="M181" i="2"/>
  <c r="L181" i="2"/>
  <c r="K181" i="2"/>
  <c r="J174" i="2"/>
  <c r="J175" i="2"/>
  <c r="J176" i="2"/>
  <c r="J177" i="2"/>
  <c r="J178" i="2"/>
  <c r="J179" i="2"/>
  <c r="J180" i="2"/>
  <c r="J173" i="2"/>
  <c r="I181" i="2"/>
  <c r="H181" i="2"/>
  <c r="J181" i="2" s="1"/>
  <c r="G181" i="2"/>
  <c r="F181" i="2"/>
  <c r="F147" i="2"/>
  <c r="G147" i="2"/>
  <c r="H147" i="2"/>
  <c r="I147" i="2"/>
  <c r="K147" i="2"/>
  <c r="L147" i="2"/>
  <c r="M147" i="2"/>
  <c r="O147" i="2"/>
  <c r="F170" i="2"/>
  <c r="I170" i="2"/>
  <c r="H170" i="2"/>
  <c r="G170" i="2"/>
  <c r="F183" i="2" l="1"/>
  <c r="I183" i="2"/>
  <c r="H183" i="2"/>
  <c r="G183" i="2"/>
  <c r="N181" i="2"/>
  <c r="P181" i="2"/>
  <c r="J170" i="2"/>
  <c r="J147" i="2"/>
  <c r="N147" i="2"/>
  <c r="P150" i="2"/>
  <c r="O170" i="2"/>
  <c r="O183" i="2" s="1"/>
  <c r="N150" i="2"/>
  <c r="M170" i="2"/>
  <c r="N170" i="2" s="1"/>
  <c r="L170" i="2"/>
  <c r="L183" i="2" s="1"/>
  <c r="K170" i="2"/>
  <c r="K183" i="2" s="1"/>
  <c r="J150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6" i="2"/>
  <c r="P183" i="2" l="1"/>
  <c r="J183" i="2"/>
  <c r="M183" i="2"/>
  <c r="N183" i="2" s="1"/>
  <c r="P147" i="2"/>
  <c r="P170" i="2"/>
  <c r="D169" i="2" l="1"/>
  <c r="C169" i="2"/>
  <c r="B169" i="2"/>
  <c r="D168" i="2"/>
  <c r="C168" i="2"/>
  <c r="B168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</calcChain>
</file>

<file path=xl/sharedStrings.xml><?xml version="1.0" encoding="utf-8"?>
<sst xmlns="http://schemas.openxmlformats.org/spreadsheetml/2006/main" count="224" uniqueCount="190">
  <si>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</si>
  <si>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</si>
  <si>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</si>
  <si>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</si>
  <si>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</si>
  <si>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</si>
  <si>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</si>
  <si>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</si>
  <si>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</si>
  <si>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</si>
  <si>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</si>
  <si>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</si>
  <si>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</si>
  <si>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</si>
  <si>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</si>
  <si>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</si>
  <si>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</si>
  <si>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</si>
  <si>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</si>
  <si>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</si>
  <si>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</si>
  <si>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</si>
  <si>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</si>
  <si>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</si>
  <si>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</si>
  <si>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</si>
  <si>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</si>
  <si>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</si>
  <si>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</si>
  <si>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</si>
  <si>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</si>
  <si>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</si>
  <si>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</si>
  <si>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</si>
  <si>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</si>
  <si>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</si>
  <si>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</si>
  <si>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</si>
  <si>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</si>
  <si>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</si>
  <si>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</si>
  <si>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</si>
  <si>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</si>
  <si>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</si>
  <si>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</si>
  <si>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</si>
  <si>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</si>
  <si>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</si>
  <si>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</si>
  <si>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</si>
  <si>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</si>
  <si>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</si>
  <si>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</si>
  <si>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</si>
  <si>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</si>
  <si>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</si>
  <si>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</si>
  <si>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</si>
  <si>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</si>
  <si>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</si>
  <si>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</si>
  <si>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</si>
  <si>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</si>
  <si>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</si>
  <si>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</si>
  <si>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</si>
  <si>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</si>
  <si>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</si>
  <si>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</si>
  <si>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</si>
  <si>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</si>
  <si>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</si>
  <si>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</si>
  <si>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</si>
  <si>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</si>
  <si>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</si>
  <si>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</si>
  <si>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</si>
  <si>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</si>
  <si>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</si>
  <si>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</si>
  <si>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</si>
  <si>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</si>
  <si>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</si>
  <si>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</si>
  <si>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</si>
  <si>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</si>
  <si>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</si>
  <si>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</si>
  <si>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</si>
  <si>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</si>
  <si>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</si>
  <si>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</si>
  <si>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</si>
  <si>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</si>
  <si>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</si>
  <si>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</si>
  <si>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</si>
  <si>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</si>
  <si>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</si>
  <si>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</si>
  <si>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</si>
  <si>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</si>
  <si>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</si>
  <si>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</si>
  <si>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</si>
  <si>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</si>
  <si>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</si>
  <si>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</si>
  <si>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</si>
  <si>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</si>
  <si>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</si>
  <si>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</si>
  <si>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</si>
  <si>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</si>
  <si>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</si>
  <si>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</si>
  <si>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</si>
  <si>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</si>
  <si>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</si>
  <si>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</si>
  <si>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</si>
  <si>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</si>
  <si>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</si>
  <si>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</si>
  <si>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</si>
  <si>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</si>
  <si>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</si>
  <si>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</si>
  <si>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</si>
  <si>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</si>
  <si>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</si>
  <si>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</si>
  <si>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</si>
  <si>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</si>
  <si>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</si>
  <si>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</si>
  <si>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</si>
  <si>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</si>
  <si>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</si>
  <si>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</si>
  <si>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</si>
  <si>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</si>
  <si>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</si>
  <si>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</si>
  <si>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</si>
  <si>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</si>
  <si>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</si>
  <si>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</si>
  <si>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</si>
  <si>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</si>
  <si>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</si>
  <si>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</si>
  <si>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</si>
  <si>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</si>
  <si>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</si>
  <si>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</si>
  <si>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</si>
  <si>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</si>
  <si>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</si>
  <si>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</si>
  <si>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</si>
  <si>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</si>
  <si>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</si>
  <si>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</si>
  <si>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</si>
  <si>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</si>
  <si>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</si>
  <si>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</si>
  <si>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</si>
  <si>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</si>
  <si>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</si>
  <si>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</si>
  <si>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</si>
  <si>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</si>
  <si>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</si>
  <si>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</si>
  <si>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</si>
  <si>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</si>
  <si>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</si>
  <si>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</si>
  <si>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</si>
  <si>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</si>
  <si>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</si>
  <si>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</si>
  <si>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</si>
  <si>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</si>
  <si>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</si>
  <si>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</si>
  <si>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INE.- ACTUALIZACIÓN CENSO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</si>
</sst>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</cellStyleXfs>
  <cellXfs count="41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21" fontId="11" fillId="0" borderId="0" xfId="0" applyNumberFormat="1" applyFont="1" applyAlignment="1">
      <alignment horizontal="right" vertical="center"/>
    </xf>
    <xf numFmtId="0" fontId="11" fillId="0" borderId="0" xfId="0" applyNumberFormat="1" applyFont="1" applyFill="1" applyBorder="1" applyAlignment="1" applyProtection="1"/>
    <xf numFmtId="1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wrapText="1"/>
    </xf>
    <xf numFmtId="1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4" fillId="0" borderId="2" xfId="4" applyNumberFormat="1" applyFont="1" applyBorder="1" applyAlignment="1">
      <alignment horizontal="center" vertical="center"/>
    </xf>
    <xf numFmtId="1" fontId="4" fillId="0" borderId="2" xfId="3" applyNumberFormat="1" applyFont="1" applyBorder="1" applyAlignment="1">
      <alignment horizontal="center" vertical="center"/>
    </xf>
    <xf numFmtId="49" fontId="4" fillId="0" borderId="2" xfId="4" applyNumberFormat="1" applyFont="1" applyBorder="1" applyAlignment="1">
      <alignment vertical="center"/>
    </xf>
    <xf numFmtId="4" fontId="4" fillId="0" borderId="2" xfId="4" applyNumberFormat="1" applyFont="1" applyBorder="1" applyAlignment="1">
      <alignment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vertical="center"/>
    </xf>
    <xf numFmtId="10" fontId="5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Alignment="1" applyProtection="1">
      <alignment vertical="center"/>
    </xf>
    <xf numFmtId="10" fontId="5" fillId="0" borderId="0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47" totalsRowCount="1" headerRowDxfId="86" dataDxfId="85" totalsRowDxfId="84">
  <autoFilter ref="A5:P146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IF(H147=0," ",I147/H147)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IF(I147=0," ",M147/I147)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49:P170" totalsRowShown="0" headerRowDxfId="83" dataDxfId="82">
  <autoFilter ref="A149:P170" xr:uid="{2865CE11-BD44-47BD-A8A3-83B64CDEBFBF}"/>
  <tableColumns count="16">
    <tableColumn id="1" xr3:uid="{29DAAA2D-C31F-4597-80E4-50B0B3B4AFFF}" name="Clasificación" dataDxfId="62"/>
    <tableColumn id="2" xr3:uid="{FABB8E7D-3E86-42E2-A8DA-94A68A4A3AE0}" name="CAP" dataDxfId="81"/>
    <tableColumn id="3" xr3:uid="{4D6FBC4A-EA63-44C6-9F5D-9467E2800191}" name="ART" dataDxfId="80"/>
    <tableColumn id="4" xr3:uid="{262CF6AB-68B9-456C-A92B-DB4EE3D69F1B}" name="CONC" dataDxfId="79"/>
    <tableColumn id="5" xr3:uid="{7B4794F4-BC96-492A-99DF-62527595D7B6}" name="DENOMINACIÓN DE LAS APLICACIONES" dataDxfId="78"/>
    <tableColumn id="6" xr3:uid="{B6C402F0-707A-4B2D-9DAF-0FD7204397F1}" name="Previsiones Iniciales" dataDxfId="77"/>
    <tableColumn id="7" xr3:uid="{C3FDD568-7CCF-46E4-BD1E-85E6788125C4}" name="Modificaciones" dataDxfId="76"/>
    <tableColumn id="8" xr3:uid="{083E5272-8B70-4254-A0CD-FBF8022998F2}" name="Previsiones Definitivas" dataDxfId="75"/>
    <tableColumn id="9" xr3:uid="{47486E6E-6790-4581-AFD6-2937B4D0891C}" name="Derechos Netos" dataDxfId="74"/>
    <tableColumn id="10" xr3:uid="{C8280D50-5786-4185-A2D5-FF66025BFA32}" name="Der/Prev" dataDxfId="73"/>
    <tableColumn id="11" xr3:uid="{CF39D473-0B06-42AE-AF94-0B7C186E6FF5}" name="Ingresos Realizados" dataDxfId="72"/>
    <tableColumn id="12" xr3:uid="{3D57773D-0D69-4260-84E5-6E7DD111F272}" name="Devoluciones de Ingresos" dataDxfId="71"/>
    <tableColumn id="13" xr3:uid="{D0278385-D45D-410D-96FE-FFCB82D5C6F5}" name="Recaudación Líquida" dataDxfId="70"/>
    <tableColumn id="14" xr3:uid="{6FF38373-605D-4D5F-969B-9E2038DFF3FF}" name="Rec/Der" dataDxfId="69">
      <calculatedColumnFormula>IF(I150=0," ",M150/I150)</calculatedColumnFormula>
    </tableColumn>
    <tableColumn id="15" xr3:uid="{A1FCD7AC-8F3F-4B72-8A41-0CED39A2E4B0}" name="Pendiente de Cobro" dataDxfId="68"/>
    <tableColumn id="16" xr3:uid="{7B99BCAE-AE5C-4795-8E0C-67B409962680}" name="Estado de Ejecución" dataDxfId="6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2:P181" totalsRowCount="1" headerRowDxfId="66" dataDxfId="65" totalsRowDxfId="63" tableBorderDxfId="64">
  <autoFilter ref="B172:P180" xr:uid="{E0730090-3C63-47CF-A111-D1EF4DA84425}"/>
  <tableColumns count="15">
    <tableColumn id="1" xr3:uid="{EFCB9640-ED57-42F6-9A61-567D82DCA159}" name="CAP" dataDxfId="29" totalsRowDxfId="14">
      <calculatedColumnFormula>LEFT(A173,1)</calculatedColumnFormula>
    </tableColumn>
    <tableColumn id="2" xr3:uid="{2BAEC3EF-6B37-4EE7-B493-5DC046EA5EDA}" name="ART" dataDxfId="28" totalsRowDxfId="13">
      <calculatedColumnFormula>LEFT(A173,2)</calculatedColumnFormula>
    </tableColumn>
    <tableColumn id="3" xr3:uid="{6A706D24-870F-46BC-963C-F51A5FE67E0E}" name="CONC" dataDxfId="27" totalsRowDxfId="12">
      <calculatedColumnFormula>LEFT(A173,3)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IF(H173=0," ",I173/H173)</calculatedColumnFormula>
      <totalsRowFormula>IF(H181=0," ",I181/H181)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IF(I173=0," ",M173/I173)</calculatedColumnFormula>
      <totalsRowFormula>IF(I181=0," ",M181/I181)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I173-H173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3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45504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6896041.4800000004</v>
      </c>
      <c r="J6" s="7">
        <f>IF(H6=0," ",I6/H6)</f>
        <v>0.64139593181079613</v>
      </c>
      <c r="K6" s="29">
        <v>6000294.3399999999</v>
      </c>
      <c r="L6" s="29">
        <v>26148.959999999999</v>
      </c>
      <c r="M6" s="29">
        <v>5974145.3799999999</v>
      </c>
      <c r="N6" s="7">
        <f>IF(I6=0," ",M6/I6)</f>
        <v>0.86631517477473174</v>
      </c>
      <c r="O6" s="29">
        <v>921896.1</v>
      </c>
      <c r="P6" s="8">
        <f>I6-H6</f>
        <v>-3855572.5199999996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282402.71999999997</v>
      </c>
      <c r="J7" s="7">
        <f t="shared" ref="J7:J70" si="3">IF(H7=0," ",I7/H7)</f>
        <v>0.94134239999999991</v>
      </c>
      <c r="K7" s="29">
        <v>20412.66</v>
      </c>
      <c r="L7" s="29">
        <v>1347.14</v>
      </c>
      <c r="M7" s="29">
        <v>19065.52</v>
      </c>
      <c r="N7" s="7">
        <f t="shared" ref="N7:N70" si="4">IF(I7=0," ",M7/I7)</f>
        <v>6.751181433379963E-2</v>
      </c>
      <c r="O7" s="29">
        <v>263337.2</v>
      </c>
      <c r="P7" s="8">
        <f t="shared" ref="P7:P70" si="5">I7-H7</f>
        <v>-17597.280000000028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73415570.950000003</v>
      </c>
      <c r="J8" s="7">
        <f t="shared" si="3"/>
        <v>0.97887427933333337</v>
      </c>
      <c r="K8" s="29">
        <v>6369791.96</v>
      </c>
      <c r="L8" s="29">
        <v>116812.83</v>
      </c>
      <c r="M8" s="29">
        <v>6252979.1299999999</v>
      </c>
      <c r="N8" s="7">
        <f t="shared" si="4"/>
        <v>8.5172383039268593E-2</v>
      </c>
      <c r="O8" s="29">
        <v>67162591.819999993</v>
      </c>
      <c r="P8" s="8">
        <f t="shared" si="5"/>
        <v>-1584429.049999997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0</v>
      </c>
      <c r="L10" s="29">
        <v>0</v>
      </c>
      <c r="M10" s="29">
        <v>0</v>
      </c>
      <c r="N10" s="7">
        <f t="shared" si="4"/>
        <v>0</v>
      </c>
      <c r="O10" s="29">
        <v>23227.360000000001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15179629.810000001</v>
      </c>
      <c r="J11" s="7">
        <f t="shared" si="3"/>
        <v>0.94872686312499999</v>
      </c>
      <c r="K11" s="29">
        <v>5477039.0300000003</v>
      </c>
      <c r="L11" s="29">
        <v>29994.03</v>
      </c>
      <c r="M11" s="29">
        <v>5447045</v>
      </c>
      <c r="N11" s="7">
        <f t="shared" si="4"/>
        <v>0.3588391198059131</v>
      </c>
      <c r="O11" s="29">
        <v>9732584.8100000005</v>
      </c>
      <c r="P11" s="8">
        <f t="shared" si="5"/>
        <v>-820370.18999999948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2073295.15</v>
      </c>
      <c r="J12" s="7">
        <f t="shared" si="3"/>
        <v>0.31896848461538463</v>
      </c>
      <c r="K12" s="29">
        <v>2152922.0299999998</v>
      </c>
      <c r="L12" s="29">
        <v>112297.04</v>
      </c>
      <c r="M12" s="29">
        <v>2040624.99</v>
      </c>
      <c r="N12" s="7">
        <f t="shared" si="4"/>
        <v>0.98424239790461099</v>
      </c>
      <c r="O12" s="29">
        <v>32670.16</v>
      </c>
      <c r="P12" s="8">
        <f t="shared" si="5"/>
        <v>-4426704.8499999996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1775986.62</v>
      </c>
      <c r="J13" s="7">
        <f t="shared" si="3"/>
        <v>0.14987228860759494</v>
      </c>
      <c r="K13" s="29">
        <v>1625086.74</v>
      </c>
      <c r="L13" s="29">
        <v>307064.18</v>
      </c>
      <c r="M13" s="29">
        <v>1318022.56</v>
      </c>
      <c r="N13" s="7">
        <f t="shared" si="4"/>
        <v>0.74213541090754387</v>
      </c>
      <c r="O13" s="29">
        <v>457964.06</v>
      </c>
      <c r="P13" s="8">
        <f t="shared" si="5"/>
        <v>-10074013.379999999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4743401.0199999996</v>
      </c>
      <c r="J14" s="7">
        <f t="shared" si="3"/>
        <v>0.68354361534460983</v>
      </c>
      <c r="K14" s="29">
        <v>3755585.56</v>
      </c>
      <c r="L14" s="29">
        <v>74618.759999999995</v>
      </c>
      <c r="M14" s="29">
        <v>3680966.8</v>
      </c>
      <c r="N14" s="7">
        <f t="shared" si="4"/>
        <v>0.77601846954951326</v>
      </c>
      <c r="O14" s="29">
        <v>1062434.22</v>
      </c>
      <c r="P14" s="8">
        <f t="shared" si="5"/>
        <v>-2196025.9800000004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116068.02</v>
      </c>
      <c r="J15" s="7">
        <f t="shared" si="3"/>
        <v>1.0572109630466267</v>
      </c>
      <c r="K15" s="29">
        <v>62735.02</v>
      </c>
      <c r="L15" s="29">
        <v>237.06</v>
      </c>
      <c r="M15" s="29">
        <v>62497.96</v>
      </c>
      <c r="N15" s="7">
        <f t="shared" si="4"/>
        <v>0.5384597755695324</v>
      </c>
      <c r="O15" s="29">
        <v>53570.06</v>
      </c>
      <c r="P15" s="8">
        <f t="shared" si="5"/>
        <v>6281.0200000000041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19087.11</v>
      </c>
      <c r="J16" s="7">
        <f t="shared" si="3"/>
        <v>0.5792925430210325</v>
      </c>
      <c r="K16" s="29">
        <v>19087.11</v>
      </c>
      <c r="L16" s="29">
        <v>0</v>
      </c>
      <c r="M16" s="29">
        <v>19087.11</v>
      </c>
      <c r="N16" s="7">
        <f t="shared" si="4"/>
        <v>1</v>
      </c>
      <c r="O16" s="29">
        <v>0</v>
      </c>
      <c r="P16" s="8">
        <f t="shared" si="5"/>
        <v>-13861.89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323714.93</v>
      </c>
      <c r="J17" s="7">
        <f t="shared" si="3"/>
        <v>0.53993613468925494</v>
      </c>
      <c r="K17" s="29">
        <v>323714.93</v>
      </c>
      <c r="L17" s="29">
        <v>0</v>
      </c>
      <c r="M17" s="29">
        <v>323714.93</v>
      </c>
      <c r="N17" s="7">
        <f t="shared" si="4"/>
        <v>1</v>
      </c>
      <c r="O17" s="29">
        <v>0</v>
      </c>
      <c r="P17" s="8">
        <f t="shared" si="5"/>
        <v>-275828.07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930630.68</v>
      </c>
      <c r="J18" s="7">
        <f t="shared" si="3"/>
        <v>0.56058104303429035</v>
      </c>
      <c r="K18" s="29">
        <v>931966.28</v>
      </c>
      <c r="L18" s="29">
        <v>1602.72</v>
      </c>
      <c r="M18" s="29">
        <v>930363.56</v>
      </c>
      <c r="N18" s="7">
        <f t="shared" si="4"/>
        <v>0.99971296884388128</v>
      </c>
      <c r="O18" s="29">
        <v>267.12</v>
      </c>
      <c r="P18" s="8">
        <f t="shared" si="5"/>
        <v>-729487.32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2105.54</v>
      </c>
      <c r="J19" s="7">
        <f t="shared" si="3"/>
        <v>0.78243775548123373</v>
      </c>
      <c r="K19" s="29">
        <v>1498.7</v>
      </c>
      <c r="L19" s="29">
        <v>0</v>
      </c>
      <c r="M19" s="29">
        <v>1498.7</v>
      </c>
      <c r="N19" s="7">
        <f t="shared" si="4"/>
        <v>0.71178889975968163</v>
      </c>
      <c r="O19" s="29">
        <v>606.84</v>
      </c>
      <c r="P19" s="8">
        <f t="shared" si="5"/>
        <v>-585.46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2890107.39</v>
      </c>
      <c r="J20" s="7">
        <f t="shared" si="3"/>
        <v>0.26273703545454546</v>
      </c>
      <c r="K20" s="29">
        <v>3454265.84</v>
      </c>
      <c r="L20" s="29">
        <v>736482.3</v>
      </c>
      <c r="M20" s="29">
        <v>2717783.54</v>
      </c>
      <c r="N20" s="7">
        <f t="shared" si="4"/>
        <v>0.94037458587308753</v>
      </c>
      <c r="O20" s="29">
        <v>172323.85</v>
      </c>
      <c r="P20" s="8">
        <f t="shared" si="5"/>
        <v>-8109892.6099999994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-103.98</v>
      </c>
      <c r="J21" s="7" t="str">
        <f t="shared" si="3"/>
        <v xml:space="preserve"> </v>
      </c>
      <c r="K21" s="29">
        <v>0</v>
      </c>
      <c r="L21" s="29">
        <v>103.98</v>
      </c>
      <c r="M21" s="29">
        <v>-103.98</v>
      </c>
      <c r="N21" s="7">
        <f t="shared" si="4"/>
        <v>1</v>
      </c>
      <c r="O21" s="29">
        <v>0</v>
      </c>
      <c r="P21" s="8">
        <f t="shared" si="5"/>
        <v>-103.98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57884.46</v>
      </c>
      <c r="J22" s="7">
        <f t="shared" si="3"/>
        <v>1.4471114999999999</v>
      </c>
      <c r="K22" s="29">
        <v>17858.86</v>
      </c>
      <c r="L22" s="29">
        <v>0</v>
      </c>
      <c r="M22" s="29">
        <v>17858.86</v>
      </c>
      <c r="N22" s="7">
        <f t="shared" si="4"/>
        <v>0.30852598434882178</v>
      </c>
      <c r="O22" s="29">
        <v>40025.599999999999</v>
      </c>
      <c r="P22" s="8">
        <f t="shared" si="5"/>
        <v>17884.46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2042804.36</v>
      </c>
      <c r="J23" s="7">
        <f t="shared" si="3"/>
        <v>0.45395652444444445</v>
      </c>
      <c r="K23" s="29">
        <v>2063942.33</v>
      </c>
      <c r="L23" s="29">
        <v>51108.98</v>
      </c>
      <c r="M23" s="29">
        <v>2012833.35</v>
      </c>
      <c r="N23" s="7">
        <f t="shared" si="4"/>
        <v>0.98532849714497384</v>
      </c>
      <c r="O23" s="29">
        <v>29971.01</v>
      </c>
      <c r="P23" s="8">
        <f t="shared" si="5"/>
        <v>-2457195.6399999997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85233.72</v>
      </c>
      <c r="J24" s="7">
        <f t="shared" si="3"/>
        <v>0.42616860000000001</v>
      </c>
      <c r="K24" s="29">
        <v>86500.800000000003</v>
      </c>
      <c r="L24" s="29">
        <v>3384.45</v>
      </c>
      <c r="M24" s="29">
        <v>83116.350000000006</v>
      </c>
      <c r="N24" s="7">
        <f t="shared" si="4"/>
        <v>0.97515807124222675</v>
      </c>
      <c r="O24" s="29">
        <v>2117.37</v>
      </c>
      <c r="P24" s="8">
        <f t="shared" si="5"/>
        <v>-114766.28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107232.4</v>
      </c>
      <c r="J25" s="7">
        <f t="shared" si="3"/>
        <v>0.53616199999999992</v>
      </c>
      <c r="K25" s="29">
        <v>85305.97</v>
      </c>
      <c r="L25" s="29">
        <v>1343.17</v>
      </c>
      <c r="M25" s="29">
        <v>83962.8</v>
      </c>
      <c r="N25" s="7">
        <f t="shared" si="4"/>
        <v>0.78299842211868809</v>
      </c>
      <c r="O25" s="29">
        <v>23269.599999999999</v>
      </c>
      <c r="P25" s="8">
        <f t="shared" si="5"/>
        <v>-92767.6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155743.95000000001</v>
      </c>
      <c r="J26" s="7">
        <f t="shared" si="3"/>
        <v>0.51914650000000007</v>
      </c>
      <c r="K26" s="29">
        <v>154842.64000000001</v>
      </c>
      <c r="L26" s="29">
        <v>581.29</v>
      </c>
      <c r="M26" s="29">
        <v>154261.35</v>
      </c>
      <c r="N26" s="7">
        <f t="shared" si="4"/>
        <v>0.99048052909920414</v>
      </c>
      <c r="O26" s="29">
        <v>1482.6</v>
      </c>
      <c r="P26" s="8">
        <f t="shared" si="5"/>
        <v>-144256.04999999999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5770.58</v>
      </c>
      <c r="J27" s="7">
        <f t="shared" si="3"/>
        <v>0.48088166666666665</v>
      </c>
      <c r="K27" s="29">
        <v>5770.58</v>
      </c>
      <c r="L27" s="29">
        <v>0</v>
      </c>
      <c r="M27" s="29">
        <v>5770.58</v>
      </c>
      <c r="N27" s="7">
        <f t="shared" si="4"/>
        <v>1</v>
      </c>
      <c r="O27" s="29">
        <v>0</v>
      </c>
      <c r="P27" s="8">
        <f t="shared" si="5"/>
        <v>-6229.42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25487.45</v>
      </c>
      <c r="J29" s="7">
        <f t="shared" si="3"/>
        <v>0.63718625000000007</v>
      </c>
      <c r="K29" s="29">
        <v>11745.3</v>
      </c>
      <c r="L29" s="29">
        <v>0.35</v>
      </c>
      <c r="M29" s="29">
        <v>11744.95</v>
      </c>
      <c r="N29" s="7">
        <f t="shared" si="4"/>
        <v>0.46081306682308354</v>
      </c>
      <c r="O29" s="29">
        <v>13742.5</v>
      </c>
      <c r="P29" s="8">
        <f t="shared" si="5"/>
        <v>-14512.55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814.06</v>
      </c>
      <c r="J30" s="7">
        <f t="shared" si="3"/>
        <v>0.11629428571428571</v>
      </c>
      <c r="K30" s="29">
        <v>535.67999999999995</v>
      </c>
      <c r="L30" s="29">
        <v>0.04</v>
      </c>
      <c r="M30" s="29">
        <v>535.64</v>
      </c>
      <c r="N30" s="7">
        <f t="shared" si="4"/>
        <v>0.65798589784536765</v>
      </c>
      <c r="O30" s="29">
        <v>278.42</v>
      </c>
      <c r="P30" s="8">
        <f t="shared" si="5"/>
        <v>-6185.9400000000005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8114.08</v>
      </c>
      <c r="J31" s="7">
        <f t="shared" si="3"/>
        <v>0.40570400000000001</v>
      </c>
      <c r="K31" s="29">
        <v>8144.88</v>
      </c>
      <c r="L31" s="29">
        <v>30.8</v>
      </c>
      <c r="M31" s="29">
        <v>8114.08</v>
      </c>
      <c r="N31" s="7">
        <f t="shared" si="4"/>
        <v>1</v>
      </c>
      <c r="O31" s="29">
        <v>0</v>
      </c>
      <c r="P31" s="8">
        <f t="shared" si="5"/>
        <v>-11885.92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2941832.2</v>
      </c>
      <c r="J32" s="7">
        <f t="shared" si="3"/>
        <v>0.56034899047619047</v>
      </c>
      <c r="K32" s="29">
        <v>2942304.7</v>
      </c>
      <c r="L32" s="29">
        <v>472.5</v>
      </c>
      <c r="M32" s="29">
        <v>2941832.2</v>
      </c>
      <c r="N32" s="7">
        <f t="shared" si="4"/>
        <v>1</v>
      </c>
      <c r="O32" s="29">
        <v>0</v>
      </c>
      <c r="P32" s="8">
        <f t="shared" si="5"/>
        <v>-2308167.7999999998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101335.45</v>
      </c>
      <c r="J33" s="7">
        <f t="shared" si="3"/>
        <v>5.7090394366197179E-2</v>
      </c>
      <c r="K33" s="29">
        <v>88305.41</v>
      </c>
      <c r="L33" s="29">
        <v>1201</v>
      </c>
      <c r="M33" s="29">
        <v>87104.41</v>
      </c>
      <c r="N33" s="7">
        <f t="shared" si="4"/>
        <v>0.8595650386908037</v>
      </c>
      <c r="O33" s="29">
        <v>14231.04</v>
      </c>
      <c r="P33" s="8">
        <f t="shared" si="5"/>
        <v>-1673664.55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14437.16</v>
      </c>
      <c r="J34" s="7">
        <f t="shared" si="3"/>
        <v>0.28874319999999998</v>
      </c>
      <c r="K34" s="29">
        <v>15948.89</v>
      </c>
      <c r="L34" s="29">
        <v>1511.73</v>
      </c>
      <c r="M34" s="29">
        <v>14437.16</v>
      </c>
      <c r="N34" s="7">
        <f t="shared" si="4"/>
        <v>1</v>
      </c>
      <c r="O34" s="29">
        <v>0</v>
      </c>
      <c r="P34" s="8">
        <f t="shared" si="5"/>
        <v>-35562.839999999997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955417.48</v>
      </c>
      <c r="J35" s="7">
        <f t="shared" si="3"/>
        <v>0.85687666367713</v>
      </c>
      <c r="K35" s="29">
        <v>939935.09</v>
      </c>
      <c r="L35" s="29">
        <v>5380.18</v>
      </c>
      <c r="M35" s="29">
        <v>934554.91</v>
      </c>
      <c r="N35" s="7">
        <f t="shared" si="4"/>
        <v>0.97816392264458052</v>
      </c>
      <c r="O35" s="29">
        <v>20862.57</v>
      </c>
      <c r="P35" s="8">
        <f t="shared" si="5"/>
        <v>-159582.52000000002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1363.42</v>
      </c>
      <c r="J36" s="7">
        <f t="shared" si="3"/>
        <v>3.4085500000000005E-2</v>
      </c>
      <c r="K36" s="29">
        <v>1363.42</v>
      </c>
      <c r="L36" s="29">
        <v>0</v>
      </c>
      <c r="M36" s="29">
        <v>1363.42</v>
      </c>
      <c r="N36" s="7">
        <f t="shared" si="4"/>
        <v>1</v>
      </c>
      <c r="O36" s="29">
        <v>0</v>
      </c>
      <c r="P36" s="8">
        <f t="shared" si="5"/>
        <v>-38636.58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78878.5</v>
      </c>
      <c r="J37" s="7">
        <f t="shared" si="3"/>
        <v>0.19719624999999999</v>
      </c>
      <c r="K37" s="29">
        <v>42518.71</v>
      </c>
      <c r="L37" s="29">
        <v>31523.53</v>
      </c>
      <c r="M37" s="29">
        <v>10995.18</v>
      </c>
      <c r="N37" s="7">
        <f t="shared" si="4"/>
        <v>0.13939387792617761</v>
      </c>
      <c r="O37" s="29">
        <v>67883.320000000007</v>
      </c>
      <c r="P37" s="8">
        <f t="shared" si="5"/>
        <v>-321121.5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3097731.69</v>
      </c>
      <c r="J38" s="7">
        <f t="shared" si="3"/>
        <v>0.48402057656249997</v>
      </c>
      <c r="K38" s="29">
        <v>2541188.27</v>
      </c>
      <c r="L38" s="29">
        <v>424465.37</v>
      </c>
      <c r="M38" s="29">
        <v>2116722.9</v>
      </c>
      <c r="N38" s="7">
        <f t="shared" si="4"/>
        <v>0.68331382825476406</v>
      </c>
      <c r="O38" s="29">
        <v>981008.79</v>
      </c>
      <c r="P38" s="8">
        <f t="shared" si="5"/>
        <v>-3302268.31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461080.73</v>
      </c>
      <c r="J39" s="7">
        <f t="shared" si="3"/>
        <v>0.81607208849557522</v>
      </c>
      <c r="K39" s="29">
        <v>311647.82</v>
      </c>
      <c r="L39" s="29">
        <v>6078.7</v>
      </c>
      <c r="M39" s="29">
        <v>305569.12</v>
      </c>
      <c r="N39" s="7">
        <f t="shared" si="4"/>
        <v>0.66272368398479808</v>
      </c>
      <c r="O39" s="29">
        <v>155511.60999999999</v>
      </c>
      <c r="P39" s="8">
        <f t="shared" si="5"/>
        <v>-103919.27000000002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337770.9</v>
      </c>
      <c r="J40" s="7">
        <f t="shared" si="3"/>
        <v>0.45036120000000002</v>
      </c>
      <c r="K40" s="29">
        <v>371047.3</v>
      </c>
      <c r="L40" s="29">
        <v>33276.400000000001</v>
      </c>
      <c r="M40" s="29">
        <v>337770.9</v>
      </c>
      <c r="N40" s="7">
        <f t="shared" si="4"/>
        <v>1</v>
      </c>
      <c r="O40" s="29">
        <v>0</v>
      </c>
      <c r="P40" s="8">
        <f t="shared" si="5"/>
        <v>-412229.1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70</v>
      </c>
      <c r="J41" s="7">
        <f t="shared" si="3"/>
        <v>6.6666666666666664E-4</v>
      </c>
      <c r="K41" s="29">
        <v>645</v>
      </c>
      <c r="L41" s="29">
        <v>575</v>
      </c>
      <c r="M41" s="29">
        <v>70</v>
      </c>
      <c r="N41" s="7">
        <f t="shared" si="4"/>
        <v>1</v>
      </c>
      <c r="O41" s="29">
        <v>0</v>
      </c>
      <c r="P41" s="8">
        <f t="shared" si="5"/>
        <v>-104930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173446.44</v>
      </c>
      <c r="J42" s="7">
        <f t="shared" si="3"/>
        <v>0.33810222222222225</v>
      </c>
      <c r="K42" s="29">
        <v>173449.73</v>
      </c>
      <c r="L42" s="29">
        <v>3.29</v>
      </c>
      <c r="M42" s="29">
        <v>173446.44</v>
      </c>
      <c r="N42" s="7">
        <f t="shared" si="4"/>
        <v>1</v>
      </c>
      <c r="O42" s="29">
        <v>0</v>
      </c>
      <c r="P42" s="8">
        <f t="shared" si="5"/>
        <v>-339553.56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34901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349</v>
      </c>
      <c r="E44" s="28" t="s">
        <v>60</v>
      </c>
      <c r="F44" s="29">
        <v>27250</v>
      </c>
      <c r="G44" s="29">
        <v>0</v>
      </c>
      <c r="H44" s="29">
        <v>27250</v>
      </c>
      <c r="I44" s="29">
        <v>15350</v>
      </c>
      <c r="J44" s="7">
        <f t="shared" si="3"/>
        <v>0.56330275229357796</v>
      </c>
      <c r="K44" s="29">
        <v>12966</v>
      </c>
      <c r="L44" s="29">
        <v>0</v>
      </c>
      <c r="M44" s="29">
        <v>12966</v>
      </c>
      <c r="N44" s="7">
        <f t="shared" si="4"/>
        <v>0.84469055374592839</v>
      </c>
      <c r="O44" s="29">
        <v>2384</v>
      </c>
      <c r="P44" s="8">
        <f t="shared" si="5"/>
        <v>-11900</v>
      </c>
    </row>
    <row r="45" spans="1:16" x14ac:dyDescent="0.2">
      <c r="A45" s="26">
        <v>34902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35100</v>
      </c>
      <c r="G45" s="29">
        <v>0</v>
      </c>
      <c r="H45" s="29">
        <v>35100</v>
      </c>
      <c r="I45" s="29">
        <v>13578.27</v>
      </c>
      <c r="J45" s="7">
        <f t="shared" si="3"/>
        <v>0.38684529914529914</v>
      </c>
      <c r="K45" s="29">
        <v>10375.469999999999</v>
      </c>
      <c r="L45" s="29">
        <v>0</v>
      </c>
      <c r="M45" s="29">
        <v>10375.469999999999</v>
      </c>
      <c r="N45" s="7">
        <f t="shared" si="4"/>
        <v>0.7641231173043399</v>
      </c>
      <c r="O45" s="29">
        <v>3202.8</v>
      </c>
      <c r="P45" s="8">
        <f t="shared" si="5"/>
        <v>-21521.73</v>
      </c>
    </row>
    <row r="46" spans="1:16" x14ac:dyDescent="0.2">
      <c r="A46" s="26">
        <v>34903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18000</v>
      </c>
      <c r="G46" s="29">
        <v>0</v>
      </c>
      <c r="H46" s="29">
        <v>18000</v>
      </c>
      <c r="I46" s="29">
        <v>12478.86</v>
      </c>
      <c r="J46" s="7">
        <f t="shared" si="3"/>
        <v>0.69327000000000005</v>
      </c>
      <c r="K46" s="29">
        <v>8925.2900000000009</v>
      </c>
      <c r="L46" s="29">
        <v>0</v>
      </c>
      <c r="M46" s="29">
        <v>8925.2900000000009</v>
      </c>
      <c r="N46" s="7">
        <f t="shared" si="4"/>
        <v>0.71523280171425918</v>
      </c>
      <c r="O46" s="29">
        <v>3553.57</v>
      </c>
      <c r="P46" s="8">
        <f t="shared" si="5"/>
        <v>-5521.1399999999994</v>
      </c>
    </row>
    <row r="47" spans="1:16" x14ac:dyDescent="0.2">
      <c r="A47" s="26">
        <v>34906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0</v>
      </c>
      <c r="G47" s="29">
        <v>0</v>
      </c>
      <c r="H47" s="29">
        <v>0</v>
      </c>
      <c r="I47" s="29">
        <v>5298.9</v>
      </c>
      <c r="J47" s="7" t="str">
        <f t="shared" si="3"/>
        <v xml:space="preserve"> </v>
      </c>
      <c r="K47" s="29">
        <v>993.35</v>
      </c>
      <c r="L47" s="29">
        <v>0</v>
      </c>
      <c r="M47" s="29">
        <v>993.35</v>
      </c>
      <c r="N47" s="7">
        <f t="shared" si="4"/>
        <v>0.18746343580743174</v>
      </c>
      <c r="O47" s="29">
        <v>4305.55</v>
      </c>
      <c r="P47" s="8">
        <f t="shared" si="5"/>
        <v>5298.9</v>
      </c>
    </row>
    <row r="48" spans="1:16" x14ac:dyDescent="0.2">
      <c r="A48" s="26">
        <v>34907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3671311</v>
      </c>
      <c r="G48" s="29">
        <v>0</v>
      </c>
      <c r="H48" s="29">
        <v>3671311</v>
      </c>
      <c r="I48" s="29">
        <v>1683181.26</v>
      </c>
      <c r="J48" s="7">
        <f t="shared" si="3"/>
        <v>0.45846872139135042</v>
      </c>
      <c r="K48" s="29">
        <v>1687862.18</v>
      </c>
      <c r="L48" s="29">
        <v>4680.92</v>
      </c>
      <c r="M48" s="29">
        <v>1683181.26</v>
      </c>
      <c r="N48" s="7">
        <f t="shared" si="4"/>
        <v>1</v>
      </c>
      <c r="O48" s="29">
        <v>0</v>
      </c>
      <c r="P48" s="8">
        <f t="shared" si="5"/>
        <v>-1988129.74</v>
      </c>
    </row>
    <row r="49" spans="1:16" x14ac:dyDescent="0.2">
      <c r="A49" s="26">
        <v>34908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248160</v>
      </c>
      <c r="G49" s="29">
        <v>0</v>
      </c>
      <c r="H49" s="29">
        <v>248160</v>
      </c>
      <c r="I49" s="29">
        <v>141026.41</v>
      </c>
      <c r="J49" s="7">
        <f t="shared" si="3"/>
        <v>0.56828824145712442</v>
      </c>
      <c r="K49" s="29">
        <v>95782.41</v>
      </c>
      <c r="L49" s="29">
        <v>0</v>
      </c>
      <c r="M49" s="29">
        <v>95782.41</v>
      </c>
      <c r="N49" s="7">
        <f t="shared" si="4"/>
        <v>0.6791806584312825</v>
      </c>
      <c r="O49" s="29">
        <v>45244</v>
      </c>
      <c r="P49" s="8">
        <f t="shared" si="5"/>
        <v>-107133.59</v>
      </c>
    </row>
    <row r="50" spans="1:16" x14ac:dyDescent="0.2">
      <c r="A50" s="26">
        <v>34909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160000</v>
      </c>
      <c r="G50" s="29">
        <v>0</v>
      </c>
      <c r="H50" s="29">
        <v>160000</v>
      </c>
      <c r="I50" s="29">
        <v>185045.89</v>
      </c>
      <c r="J50" s="7">
        <f t="shared" si="3"/>
        <v>1.1565368125000002</v>
      </c>
      <c r="K50" s="29">
        <v>90024.69</v>
      </c>
      <c r="L50" s="29">
        <v>0</v>
      </c>
      <c r="M50" s="29">
        <v>90024.69</v>
      </c>
      <c r="N50" s="7">
        <f t="shared" si="4"/>
        <v>0.48649926783026631</v>
      </c>
      <c r="O50" s="29">
        <v>95021.2</v>
      </c>
      <c r="P50" s="8">
        <f t="shared" si="5"/>
        <v>25045.890000000014</v>
      </c>
    </row>
    <row r="51" spans="1:16" x14ac:dyDescent="0.2">
      <c r="A51" s="26">
        <v>35100</v>
      </c>
      <c r="B51" s="12" t="str">
        <f t="shared" si="0"/>
        <v>3</v>
      </c>
      <c r="C51" s="12" t="str">
        <f t="shared" si="1"/>
        <v>35</v>
      </c>
      <c r="D51" s="27" t="str">
        <f t="shared" si="2"/>
        <v>351</v>
      </c>
      <c r="E51" s="28" t="s">
        <v>67</v>
      </c>
      <c r="F51" s="29">
        <v>1384000</v>
      </c>
      <c r="G51" s="29">
        <v>0</v>
      </c>
      <c r="H51" s="29">
        <v>1384000</v>
      </c>
      <c r="I51" s="29">
        <v>0</v>
      </c>
      <c r="J51" s="7">
        <f t="shared" si="3"/>
        <v>0</v>
      </c>
      <c r="K51" s="29">
        <v>0</v>
      </c>
      <c r="L51" s="29">
        <v>0</v>
      </c>
      <c r="M51" s="29">
        <v>0</v>
      </c>
      <c r="N51" s="7" t="str">
        <f t="shared" si="4"/>
        <v xml:space="preserve"> </v>
      </c>
      <c r="O51" s="29">
        <v>0</v>
      </c>
      <c r="P51" s="8">
        <f t="shared" si="5"/>
        <v>-1384000</v>
      </c>
    </row>
    <row r="52" spans="1:16" x14ac:dyDescent="0.2">
      <c r="A52" s="26">
        <v>36001</v>
      </c>
      <c r="B52" s="12" t="str">
        <f t="shared" si="0"/>
        <v>3</v>
      </c>
      <c r="C52" s="12" t="str">
        <f t="shared" si="1"/>
        <v>36</v>
      </c>
      <c r="D52" s="27" t="str">
        <f t="shared" si="2"/>
        <v>360</v>
      </c>
      <c r="E52" s="28" t="s">
        <v>68</v>
      </c>
      <c r="F52" s="29">
        <v>435300</v>
      </c>
      <c r="G52" s="29">
        <v>0</v>
      </c>
      <c r="H52" s="29">
        <v>435300</v>
      </c>
      <c r="I52" s="29">
        <v>426324</v>
      </c>
      <c r="J52" s="7">
        <f t="shared" si="3"/>
        <v>0.97937973811164714</v>
      </c>
      <c r="K52" s="29">
        <v>235123.77</v>
      </c>
      <c r="L52" s="29">
        <v>0</v>
      </c>
      <c r="M52" s="29">
        <v>235123.77</v>
      </c>
      <c r="N52" s="7">
        <f t="shared" si="4"/>
        <v>0.55151427083626536</v>
      </c>
      <c r="O52" s="29">
        <v>191200.23</v>
      </c>
      <c r="P52" s="8">
        <f t="shared" si="5"/>
        <v>-8976</v>
      </c>
    </row>
    <row r="53" spans="1:16" x14ac:dyDescent="0.2">
      <c r="A53" s="26">
        <v>36002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221576</v>
      </c>
      <c r="G53" s="29">
        <v>0</v>
      </c>
      <c r="H53" s="29">
        <v>221576</v>
      </c>
      <c r="I53" s="29">
        <v>102493.1</v>
      </c>
      <c r="J53" s="7">
        <f t="shared" si="3"/>
        <v>0.46256408636314406</v>
      </c>
      <c r="K53" s="29">
        <v>71108.78</v>
      </c>
      <c r="L53" s="29">
        <v>0</v>
      </c>
      <c r="M53" s="29">
        <v>71108.78</v>
      </c>
      <c r="N53" s="7">
        <f t="shared" si="4"/>
        <v>0.69379089909467073</v>
      </c>
      <c r="O53" s="29">
        <v>31384.32</v>
      </c>
      <c r="P53" s="8">
        <f t="shared" si="5"/>
        <v>-119082.9</v>
      </c>
    </row>
    <row r="54" spans="1:16" x14ac:dyDescent="0.2">
      <c r="A54" s="26">
        <v>36003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242210</v>
      </c>
      <c r="G54" s="29">
        <v>0</v>
      </c>
      <c r="H54" s="29">
        <v>242210</v>
      </c>
      <c r="I54" s="29">
        <v>87672.3</v>
      </c>
      <c r="J54" s="7">
        <f t="shared" si="3"/>
        <v>0.36196812683208784</v>
      </c>
      <c r="K54" s="29">
        <v>87672.3</v>
      </c>
      <c r="L54" s="29">
        <v>0</v>
      </c>
      <c r="M54" s="29">
        <v>87672.3</v>
      </c>
      <c r="N54" s="7">
        <f t="shared" si="4"/>
        <v>1</v>
      </c>
      <c r="O54" s="29">
        <v>0</v>
      </c>
      <c r="P54" s="8">
        <f t="shared" si="5"/>
        <v>-154537.70000000001</v>
      </c>
    </row>
    <row r="55" spans="1:16" x14ac:dyDescent="0.2">
      <c r="A55" s="26">
        <v>36005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170000</v>
      </c>
      <c r="G55" s="29">
        <v>0</v>
      </c>
      <c r="H55" s="29">
        <v>170000</v>
      </c>
      <c r="I55" s="29">
        <v>40366.480000000003</v>
      </c>
      <c r="J55" s="7">
        <f t="shared" si="3"/>
        <v>0.23744988235294121</v>
      </c>
      <c r="K55" s="29">
        <v>40366.480000000003</v>
      </c>
      <c r="L55" s="29">
        <v>0</v>
      </c>
      <c r="M55" s="29">
        <v>40366.480000000003</v>
      </c>
      <c r="N55" s="7">
        <f t="shared" si="4"/>
        <v>1</v>
      </c>
      <c r="O55" s="29">
        <v>0</v>
      </c>
      <c r="P55" s="8">
        <f t="shared" si="5"/>
        <v>-129633.51999999999</v>
      </c>
    </row>
    <row r="56" spans="1:16" x14ac:dyDescent="0.2">
      <c r="A56" s="26">
        <v>36006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173956</v>
      </c>
      <c r="G56" s="29">
        <v>0</v>
      </c>
      <c r="H56" s="29">
        <v>173956</v>
      </c>
      <c r="I56" s="29">
        <v>64903.24</v>
      </c>
      <c r="J56" s="7">
        <f t="shared" si="3"/>
        <v>0.37310147393593779</v>
      </c>
      <c r="K56" s="29">
        <v>64903.24</v>
      </c>
      <c r="L56" s="29">
        <v>0</v>
      </c>
      <c r="M56" s="29">
        <v>64903.24</v>
      </c>
      <c r="N56" s="7">
        <f t="shared" si="4"/>
        <v>1</v>
      </c>
      <c r="O56" s="29">
        <v>0</v>
      </c>
      <c r="P56" s="8">
        <f t="shared" si="5"/>
        <v>-109052.76000000001</v>
      </c>
    </row>
    <row r="57" spans="1:16" x14ac:dyDescent="0.2">
      <c r="A57" s="26">
        <v>38900</v>
      </c>
      <c r="B57" s="12" t="str">
        <f t="shared" si="0"/>
        <v>3</v>
      </c>
      <c r="C57" s="12" t="str">
        <f t="shared" si="1"/>
        <v>38</v>
      </c>
      <c r="D57" s="27" t="str">
        <f t="shared" si="2"/>
        <v>389</v>
      </c>
      <c r="E57" s="28" t="s">
        <v>73</v>
      </c>
      <c r="F57" s="29">
        <v>600000</v>
      </c>
      <c r="G57" s="29">
        <v>0</v>
      </c>
      <c r="H57" s="29">
        <v>600000</v>
      </c>
      <c r="I57" s="29">
        <v>167012.49</v>
      </c>
      <c r="J57" s="7">
        <f t="shared" si="3"/>
        <v>0.27835414999999997</v>
      </c>
      <c r="K57" s="29">
        <v>103636.51</v>
      </c>
      <c r="L57" s="29">
        <v>0</v>
      </c>
      <c r="M57" s="29">
        <v>103636.51</v>
      </c>
      <c r="N57" s="7">
        <f t="shared" si="4"/>
        <v>0.62053149438104904</v>
      </c>
      <c r="O57" s="29">
        <v>63375.98</v>
      </c>
      <c r="P57" s="8">
        <f t="shared" si="5"/>
        <v>-432987.51</v>
      </c>
    </row>
    <row r="58" spans="1:16" x14ac:dyDescent="0.2">
      <c r="A58" s="26">
        <v>39101</v>
      </c>
      <c r="B58" s="12" t="str">
        <f t="shared" si="0"/>
        <v>3</v>
      </c>
      <c r="C58" s="12" t="str">
        <f t="shared" si="1"/>
        <v>39</v>
      </c>
      <c r="D58" s="27" t="str">
        <f t="shared" si="2"/>
        <v>391</v>
      </c>
      <c r="E58" s="28" t="s">
        <v>74</v>
      </c>
      <c r="F58" s="29">
        <v>150000</v>
      </c>
      <c r="G58" s="29">
        <v>0</v>
      </c>
      <c r="H58" s="29">
        <v>150000</v>
      </c>
      <c r="I58" s="29">
        <v>77920.52</v>
      </c>
      <c r="J58" s="7">
        <f t="shared" si="3"/>
        <v>0.51947013333333336</v>
      </c>
      <c r="K58" s="29">
        <v>22018</v>
      </c>
      <c r="L58" s="29">
        <v>380.98</v>
      </c>
      <c r="M58" s="29">
        <v>21637.02</v>
      </c>
      <c r="N58" s="7">
        <f t="shared" si="4"/>
        <v>0.27768064176163093</v>
      </c>
      <c r="O58" s="29">
        <v>56283.5</v>
      </c>
      <c r="P58" s="8">
        <f t="shared" si="5"/>
        <v>-72079.48</v>
      </c>
    </row>
    <row r="59" spans="1:16" x14ac:dyDescent="0.2">
      <c r="A59" s="26">
        <v>39102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50000</v>
      </c>
      <c r="G59" s="29">
        <v>0</v>
      </c>
      <c r="H59" s="29">
        <v>50000</v>
      </c>
      <c r="I59" s="29">
        <v>19610.91</v>
      </c>
      <c r="J59" s="7">
        <f t="shared" si="3"/>
        <v>0.39221820000000002</v>
      </c>
      <c r="K59" s="29">
        <v>3183.22</v>
      </c>
      <c r="L59" s="29">
        <v>380.64</v>
      </c>
      <c r="M59" s="29">
        <v>2802.58</v>
      </c>
      <c r="N59" s="7">
        <f t="shared" si="4"/>
        <v>0.14290922756771612</v>
      </c>
      <c r="O59" s="29">
        <v>16808.330000000002</v>
      </c>
      <c r="P59" s="8">
        <f t="shared" si="5"/>
        <v>-30389.09</v>
      </c>
    </row>
    <row r="60" spans="1:16" x14ac:dyDescent="0.2">
      <c r="A60" s="26">
        <v>39103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200000</v>
      </c>
      <c r="G60" s="29">
        <v>0</v>
      </c>
      <c r="H60" s="29">
        <v>200000</v>
      </c>
      <c r="I60" s="29">
        <v>85594.15</v>
      </c>
      <c r="J60" s="7">
        <f t="shared" si="3"/>
        <v>0.42797074999999996</v>
      </c>
      <c r="K60" s="29">
        <v>35102.81</v>
      </c>
      <c r="L60" s="29">
        <v>0</v>
      </c>
      <c r="M60" s="29">
        <v>35102.81</v>
      </c>
      <c r="N60" s="7">
        <f t="shared" si="4"/>
        <v>0.41010758328694191</v>
      </c>
      <c r="O60" s="29">
        <v>50491.34</v>
      </c>
      <c r="P60" s="8">
        <f t="shared" si="5"/>
        <v>-114405.85</v>
      </c>
    </row>
    <row r="61" spans="1:16" x14ac:dyDescent="0.2">
      <c r="A61" s="26">
        <v>39105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110000</v>
      </c>
      <c r="G61" s="29">
        <v>0</v>
      </c>
      <c r="H61" s="29">
        <v>110000</v>
      </c>
      <c r="I61" s="29">
        <v>27859.8</v>
      </c>
      <c r="J61" s="7">
        <f t="shared" si="3"/>
        <v>0.2532709090909091</v>
      </c>
      <c r="K61" s="29">
        <v>6256.8</v>
      </c>
      <c r="L61" s="29">
        <v>0</v>
      </c>
      <c r="M61" s="29">
        <v>6256.8</v>
      </c>
      <c r="N61" s="7">
        <f t="shared" si="4"/>
        <v>0.22458165528826482</v>
      </c>
      <c r="O61" s="29">
        <v>21603</v>
      </c>
      <c r="P61" s="8">
        <f t="shared" si="5"/>
        <v>-82140.2</v>
      </c>
    </row>
    <row r="62" spans="1:16" x14ac:dyDescent="0.2">
      <c r="A62" s="26">
        <v>39106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-282.68</v>
      </c>
      <c r="J62" s="7" t="str">
        <f t="shared" si="3"/>
        <v xml:space="preserve"> </v>
      </c>
      <c r="K62" s="29">
        <v>0</v>
      </c>
      <c r="L62" s="29">
        <v>282.68</v>
      </c>
      <c r="M62" s="29">
        <v>-282.68</v>
      </c>
      <c r="N62" s="7">
        <f t="shared" si="4"/>
        <v>1</v>
      </c>
      <c r="O62" s="29">
        <v>0</v>
      </c>
      <c r="P62" s="8">
        <f t="shared" si="5"/>
        <v>-282.68</v>
      </c>
    </row>
    <row r="63" spans="1:16" x14ac:dyDescent="0.2">
      <c r="A63" s="26">
        <v>39110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200000</v>
      </c>
      <c r="G63" s="29">
        <v>0</v>
      </c>
      <c r="H63" s="29">
        <v>200000</v>
      </c>
      <c r="I63" s="29">
        <v>83849.19</v>
      </c>
      <c r="J63" s="7">
        <f t="shared" si="3"/>
        <v>0.41924595000000003</v>
      </c>
      <c r="K63" s="29">
        <v>43733.01</v>
      </c>
      <c r="L63" s="29">
        <v>0</v>
      </c>
      <c r="M63" s="29">
        <v>43733.01</v>
      </c>
      <c r="N63" s="7">
        <f t="shared" si="4"/>
        <v>0.52156747131367642</v>
      </c>
      <c r="O63" s="29">
        <v>40116.18</v>
      </c>
      <c r="P63" s="8">
        <f t="shared" si="5"/>
        <v>-116150.81</v>
      </c>
    </row>
    <row r="64" spans="1:16" x14ac:dyDescent="0.2">
      <c r="A64" s="26">
        <v>39120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5000000</v>
      </c>
      <c r="G64" s="29">
        <v>0</v>
      </c>
      <c r="H64" s="29">
        <v>5000000</v>
      </c>
      <c r="I64" s="29">
        <v>1974675.47</v>
      </c>
      <c r="J64" s="7">
        <f t="shared" si="3"/>
        <v>0.39493509399999999</v>
      </c>
      <c r="K64" s="29">
        <v>1468639.68</v>
      </c>
      <c r="L64" s="29">
        <v>15452.85</v>
      </c>
      <c r="M64" s="29">
        <v>1453186.83</v>
      </c>
      <c r="N64" s="7">
        <f t="shared" si="4"/>
        <v>0.73591172426930496</v>
      </c>
      <c r="O64" s="29">
        <v>521488.64000000001</v>
      </c>
      <c r="P64" s="8">
        <f t="shared" si="5"/>
        <v>-3025324.5300000003</v>
      </c>
    </row>
    <row r="65" spans="1:16" x14ac:dyDescent="0.2">
      <c r="A65" s="26">
        <v>39200</v>
      </c>
      <c r="B65" s="12" t="str">
        <f t="shared" si="0"/>
        <v>3</v>
      </c>
      <c r="C65" s="12" t="str">
        <f t="shared" si="1"/>
        <v>39</v>
      </c>
      <c r="D65" s="27" t="str">
        <f t="shared" si="2"/>
        <v>392</v>
      </c>
      <c r="E65" s="28" t="s">
        <v>81</v>
      </c>
      <c r="F65" s="29">
        <v>25000</v>
      </c>
      <c r="G65" s="29">
        <v>0</v>
      </c>
      <c r="H65" s="29">
        <v>25000</v>
      </c>
      <c r="I65" s="29">
        <v>4786.16</v>
      </c>
      <c r="J65" s="7">
        <f t="shared" si="3"/>
        <v>0.19144639999999999</v>
      </c>
      <c r="K65" s="29">
        <v>5045.8500000000004</v>
      </c>
      <c r="L65" s="29">
        <v>275</v>
      </c>
      <c r="M65" s="29">
        <v>4770.8500000000004</v>
      </c>
      <c r="N65" s="7">
        <f t="shared" si="4"/>
        <v>0.99680119344108853</v>
      </c>
      <c r="O65" s="29">
        <v>15.31</v>
      </c>
      <c r="P65" s="8">
        <f t="shared" si="5"/>
        <v>-20213.84</v>
      </c>
    </row>
    <row r="66" spans="1:16" x14ac:dyDescent="0.2">
      <c r="A66" s="26">
        <v>39210</v>
      </c>
      <c r="B66" s="12" t="str">
        <f t="shared" si="0"/>
        <v>3</v>
      </c>
      <c r="C66" s="12" t="str">
        <f t="shared" si="1"/>
        <v>39</v>
      </c>
      <c r="D66" s="27" t="str">
        <f t="shared" si="2"/>
        <v>392</v>
      </c>
      <c r="E66" s="28" t="s">
        <v>82</v>
      </c>
      <c r="F66" s="29">
        <v>185000</v>
      </c>
      <c r="G66" s="29">
        <v>0</v>
      </c>
      <c r="H66" s="29">
        <v>185000</v>
      </c>
      <c r="I66" s="29">
        <v>39849.300000000003</v>
      </c>
      <c r="J66" s="7">
        <f t="shared" si="3"/>
        <v>0.21540162162162163</v>
      </c>
      <c r="K66" s="29">
        <v>40828.83</v>
      </c>
      <c r="L66" s="29">
        <v>979.53</v>
      </c>
      <c r="M66" s="29">
        <v>39849.300000000003</v>
      </c>
      <c r="N66" s="7">
        <f t="shared" si="4"/>
        <v>1</v>
      </c>
      <c r="O66" s="29">
        <v>0</v>
      </c>
      <c r="P66" s="8">
        <f t="shared" si="5"/>
        <v>-145150.70000000001</v>
      </c>
    </row>
    <row r="67" spans="1:16" x14ac:dyDescent="0.2">
      <c r="A67" s="26">
        <v>39211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1200000</v>
      </c>
      <c r="G67" s="29">
        <v>0</v>
      </c>
      <c r="H67" s="29">
        <v>1200000</v>
      </c>
      <c r="I67" s="29">
        <v>383721.23</v>
      </c>
      <c r="J67" s="7">
        <f t="shared" si="3"/>
        <v>0.31976769166666663</v>
      </c>
      <c r="K67" s="29">
        <v>444787.68</v>
      </c>
      <c r="L67" s="29">
        <v>61066.45</v>
      </c>
      <c r="M67" s="29">
        <v>383721.23</v>
      </c>
      <c r="N67" s="7">
        <f t="shared" si="4"/>
        <v>1</v>
      </c>
      <c r="O67" s="29">
        <v>0</v>
      </c>
      <c r="P67" s="8">
        <f t="shared" si="5"/>
        <v>-816278.77</v>
      </c>
    </row>
    <row r="68" spans="1:16" x14ac:dyDescent="0.2">
      <c r="A68" s="26">
        <v>39300</v>
      </c>
      <c r="B68" s="12" t="str">
        <f t="shared" si="0"/>
        <v>3</v>
      </c>
      <c r="C68" s="12" t="str">
        <f t="shared" si="1"/>
        <v>39</v>
      </c>
      <c r="D68" s="27" t="str">
        <f t="shared" si="2"/>
        <v>393</v>
      </c>
      <c r="E68" s="28" t="s">
        <v>84</v>
      </c>
      <c r="F68" s="29">
        <v>500000</v>
      </c>
      <c r="G68" s="29">
        <v>0</v>
      </c>
      <c r="H68" s="29">
        <v>500000</v>
      </c>
      <c r="I68" s="29">
        <v>167234.38</v>
      </c>
      <c r="J68" s="7">
        <f t="shared" si="3"/>
        <v>0.33446876000000003</v>
      </c>
      <c r="K68" s="29">
        <v>173917.58</v>
      </c>
      <c r="L68" s="29">
        <v>15284.29</v>
      </c>
      <c r="M68" s="29">
        <v>158633.29</v>
      </c>
      <c r="N68" s="7">
        <f t="shared" si="4"/>
        <v>0.94856864958030762</v>
      </c>
      <c r="O68" s="29">
        <v>8601.09</v>
      </c>
      <c r="P68" s="8">
        <f t="shared" si="5"/>
        <v>-332765.62</v>
      </c>
    </row>
    <row r="69" spans="1:16" x14ac:dyDescent="0.2">
      <c r="A69" s="26">
        <v>39610</v>
      </c>
      <c r="B69" s="12" t="str">
        <f t="shared" si="0"/>
        <v>3</v>
      </c>
      <c r="C69" s="12" t="str">
        <f t="shared" si="1"/>
        <v>39</v>
      </c>
      <c r="D69" s="27" t="str">
        <f t="shared" si="2"/>
        <v>396</v>
      </c>
      <c r="E69" s="28" t="s">
        <v>85</v>
      </c>
      <c r="F69" s="29">
        <v>1408000</v>
      </c>
      <c r="G69" s="29">
        <v>0</v>
      </c>
      <c r="H69" s="29">
        <v>1408000</v>
      </c>
      <c r="I69" s="29">
        <v>805067.87</v>
      </c>
      <c r="J69" s="7">
        <f t="shared" si="3"/>
        <v>0.57178115767045457</v>
      </c>
      <c r="K69" s="29">
        <v>805067.87</v>
      </c>
      <c r="L69" s="29">
        <v>0</v>
      </c>
      <c r="M69" s="29">
        <v>805067.87</v>
      </c>
      <c r="N69" s="7">
        <f t="shared" si="4"/>
        <v>1</v>
      </c>
      <c r="O69" s="29">
        <v>0</v>
      </c>
      <c r="P69" s="8">
        <f t="shared" si="5"/>
        <v>-602932.13</v>
      </c>
    </row>
    <row r="70" spans="1:16" x14ac:dyDescent="0.2">
      <c r="A70" s="26">
        <v>39700</v>
      </c>
      <c r="B70" s="12" t="str">
        <f t="shared" ref="B70:B132" si="6">LEFT(A70,1)</f>
        <v>3</v>
      </c>
      <c r="C70" s="12" t="str">
        <f t="shared" ref="C70:C132" si="7">LEFT(A70,2)</f>
        <v>39</v>
      </c>
      <c r="D70" s="27" t="str">
        <f t="shared" ref="D70:D132" si="8">LEFT(A70,3)</f>
        <v>397</v>
      </c>
      <c r="E70" s="28" t="s">
        <v>86</v>
      </c>
      <c r="F70" s="29">
        <v>0</v>
      </c>
      <c r="G70" s="29">
        <v>0</v>
      </c>
      <c r="H70" s="29">
        <v>0</v>
      </c>
      <c r="I70" s="29">
        <v>-52975.7</v>
      </c>
      <c r="J70" s="7" t="str">
        <f t="shared" si="3"/>
        <v xml:space="preserve"> </v>
      </c>
      <c r="K70" s="29">
        <v>8677.25</v>
      </c>
      <c r="L70" s="29">
        <v>61652.95</v>
      </c>
      <c r="M70" s="29">
        <v>-52975.7</v>
      </c>
      <c r="N70" s="7">
        <f t="shared" si="4"/>
        <v>1</v>
      </c>
      <c r="O70" s="29">
        <v>0</v>
      </c>
      <c r="P70" s="8">
        <f t="shared" si="5"/>
        <v>-52975.7</v>
      </c>
    </row>
    <row r="71" spans="1:16" x14ac:dyDescent="0.2">
      <c r="A71" s="26">
        <v>39901</v>
      </c>
      <c r="B71" s="12" t="str">
        <f t="shared" si="6"/>
        <v>3</v>
      </c>
      <c r="C71" s="12" t="str">
        <f t="shared" si="7"/>
        <v>39</v>
      </c>
      <c r="D71" s="27" t="str">
        <f t="shared" si="8"/>
        <v>399</v>
      </c>
      <c r="E71" s="28" t="s">
        <v>87</v>
      </c>
      <c r="F71" s="29">
        <v>0</v>
      </c>
      <c r="G71" s="29">
        <v>0</v>
      </c>
      <c r="H71" s="29">
        <v>0</v>
      </c>
      <c r="I71" s="29">
        <v>6427.38</v>
      </c>
      <c r="J71" s="7" t="str">
        <f t="shared" ref="J71:J128" si="9">IF(H71=0," ",I71/H71)</f>
        <v xml:space="preserve"> </v>
      </c>
      <c r="K71" s="29">
        <v>3999.65</v>
      </c>
      <c r="L71" s="29">
        <v>0</v>
      </c>
      <c r="M71" s="29">
        <v>3999.65</v>
      </c>
      <c r="N71" s="7">
        <f t="shared" ref="N71:N128" si="10">IF(I71=0," ",M71/I71)</f>
        <v>0.62228310758038263</v>
      </c>
      <c r="O71" s="29">
        <v>2427.73</v>
      </c>
      <c r="P71" s="8">
        <f t="shared" ref="P71:P128" si="11">I71-H71</f>
        <v>6427.38</v>
      </c>
    </row>
    <row r="72" spans="1:16" x14ac:dyDescent="0.2">
      <c r="A72" s="26">
        <v>39903</v>
      </c>
      <c r="B72" s="12" t="str">
        <f t="shared" si="6"/>
        <v>3</v>
      </c>
      <c r="C72" s="12" t="str">
        <f t="shared" si="7"/>
        <v>39</v>
      </c>
      <c r="D72" s="27" t="str">
        <f t="shared" si="8"/>
        <v>399</v>
      </c>
      <c r="E72" s="28" t="s">
        <v>88</v>
      </c>
      <c r="F72" s="29">
        <v>225000</v>
      </c>
      <c r="G72" s="29">
        <v>0</v>
      </c>
      <c r="H72" s="29">
        <v>225000</v>
      </c>
      <c r="I72" s="29">
        <v>125834.68</v>
      </c>
      <c r="J72" s="7">
        <f t="shared" si="9"/>
        <v>0.55926524444444436</v>
      </c>
      <c r="K72" s="29">
        <v>125834.72</v>
      </c>
      <c r="L72" s="29">
        <v>0.04</v>
      </c>
      <c r="M72" s="29">
        <v>125834.68</v>
      </c>
      <c r="N72" s="7">
        <f t="shared" si="10"/>
        <v>1</v>
      </c>
      <c r="O72" s="29">
        <v>0</v>
      </c>
      <c r="P72" s="8">
        <f t="shared" si="11"/>
        <v>-99165.32</v>
      </c>
    </row>
    <row r="73" spans="1:16" x14ac:dyDescent="0.2">
      <c r="A73" s="26">
        <v>39904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10000</v>
      </c>
      <c r="G73" s="29">
        <v>0</v>
      </c>
      <c r="H73" s="29">
        <v>10000</v>
      </c>
      <c r="I73" s="29">
        <v>0</v>
      </c>
      <c r="J73" s="7">
        <f t="shared" si="9"/>
        <v>0</v>
      </c>
      <c r="K73" s="29">
        <v>0</v>
      </c>
      <c r="L73" s="29">
        <v>0</v>
      </c>
      <c r="M73" s="29">
        <v>0</v>
      </c>
      <c r="N73" s="7" t="str">
        <f t="shared" si="10"/>
        <v xml:space="preserve"> </v>
      </c>
      <c r="O73" s="29">
        <v>0</v>
      </c>
      <c r="P73" s="8">
        <f t="shared" si="11"/>
        <v>-10000</v>
      </c>
    </row>
    <row r="74" spans="1:16" x14ac:dyDescent="0.2">
      <c r="A74" s="26">
        <v>39906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0</v>
      </c>
      <c r="G74" s="29">
        <v>0</v>
      </c>
      <c r="H74" s="29">
        <v>0</v>
      </c>
      <c r="I74" s="29">
        <v>2579.52</v>
      </c>
      <c r="J74" s="7" t="str">
        <f t="shared" si="9"/>
        <v xml:space="preserve"> </v>
      </c>
      <c r="K74" s="29">
        <v>2579.52</v>
      </c>
      <c r="L74" s="29">
        <v>0</v>
      </c>
      <c r="M74" s="29">
        <v>2579.52</v>
      </c>
      <c r="N74" s="7">
        <f t="shared" si="10"/>
        <v>1</v>
      </c>
      <c r="O74" s="29">
        <v>0</v>
      </c>
      <c r="P74" s="8">
        <f t="shared" si="11"/>
        <v>2579.52</v>
      </c>
    </row>
    <row r="75" spans="1:16" x14ac:dyDescent="0.2">
      <c r="A75" s="26">
        <v>39907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16000</v>
      </c>
      <c r="G75" s="29">
        <v>0</v>
      </c>
      <c r="H75" s="29">
        <v>16000</v>
      </c>
      <c r="I75" s="29">
        <v>7663.26</v>
      </c>
      <c r="J75" s="7">
        <f t="shared" si="9"/>
        <v>0.47895375000000001</v>
      </c>
      <c r="K75" s="29">
        <v>6394.78</v>
      </c>
      <c r="L75" s="29">
        <v>0</v>
      </c>
      <c r="M75" s="29">
        <v>6394.78</v>
      </c>
      <c r="N75" s="7">
        <f t="shared" si="10"/>
        <v>0.83447253518737452</v>
      </c>
      <c r="O75" s="29">
        <v>1268.48</v>
      </c>
      <c r="P75" s="8">
        <f t="shared" si="11"/>
        <v>-8336.74</v>
      </c>
    </row>
    <row r="76" spans="1:16" x14ac:dyDescent="0.2">
      <c r="A76" s="26">
        <v>39910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1000</v>
      </c>
      <c r="G76" s="29">
        <v>0</v>
      </c>
      <c r="H76" s="29">
        <v>1000</v>
      </c>
      <c r="I76" s="29">
        <v>0</v>
      </c>
      <c r="J76" s="7">
        <f t="shared" si="9"/>
        <v>0</v>
      </c>
      <c r="K76" s="29">
        <v>0</v>
      </c>
      <c r="L76" s="29">
        <v>0</v>
      </c>
      <c r="M76" s="29">
        <v>0</v>
      </c>
      <c r="N76" s="7" t="str">
        <f t="shared" si="10"/>
        <v xml:space="preserve"> </v>
      </c>
      <c r="O76" s="29">
        <v>0</v>
      </c>
      <c r="P76" s="8">
        <f t="shared" si="11"/>
        <v>-1000</v>
      </c>
    </row>
    <row r="77" spans="1:16" x14ac:dyDescent="0.2">
      <c r="A77" s="26">
        <v>39911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0</v>
      </c>
      <c r="G77" s="29">
        <v>0</v>
      </c>
      <c r="H77" s="29">
        <v>0</v>
      </c>
      <c r="I77" s="29">
        <v>1725.2</v>
      </c>
      <c r="J77" s="7" t="str">
        <f t="shared" si="9"/>
        <v xml:space="preserve"> </v>
      </c>
      <c r="K77" s="29">
        <v>1725.2</v>
      </c>
      <c r="L77" s="29">
        <v>0</v>
      </c>
      <c r="M77" s="29">
        <v>1725.2</v>
      </c>
      <c r="N77" s="7">
        <f t="shared" si="10"/>
        <v>1</v>
      </c>
      <c r="O77" s="29">
        <v>0</v>
      </c>
      <c r="P77" s="8">
        <f t="shared" si="11"/>
        <v>1725.2</v>
      </c>
    </row>
    <row r="78" spans="1:16" x14ac:dyDescent="0.2">
      <c r="A78" s="26">
        <v>42001</v>
      </c>
      <c r="B78" s="12" t="str">
        <f t="shared" si="6"/>
        <v>4</v>
      </c>
      <c r="C78" s="12" t="str">
        <f t="shared" si="7"/>
        <v>42</v>
      </c>
      <c r="D78" s="27" t="str">
        <f t="shared" si="8"/>
        <v>420</v>
      </c>
      <c r="E78" s="28" t="s">
        <v>94</v>
      </c>
      <c r="F78" s="29">
        <v>0</v>
      </c>
      <c r="G78" s="29">
        <v>0</v>
      </c>
      <c r="H78" s="29">
        <v>0</v>
      </c>
      <c r="I78" s="29">
        <v>3149792.42</v>
      </c>
      <c r="J78" s="7" t="str">
        <f t="shared" si="9"/>
        <v xml:space="preserve"> </v>
      </c>
      <c r="K78" s="29">
        <v>3149792.42</v>
      </c>
      <c r="L78" s="29">
        <v>0</v>
      </c>
      <c r="M78" s="29">
        <v>3149792.42</v>
      </c>
      <c r="N78" s="7">
        <f t="shared" si="10"/>
        <v>1</v>
      </c>
      <c r="O78" s="29">
        <v>0</v>
      </c>
      <c r="P78" s="8">
        <f t="shared" si="11"/>
        <v>3149792.42</v>
      </c>
    </row>
    <row r="79" spans="1:16" x14ac:dyDescent="0.2">
      <c r="A79" s="26">
        <v>42005</v>
      </c>
      <c r="B79" s="12" t="str">
        <f t="shared" si="6"/>
        <v>4</v>
      </c>
      <c r="C79" s="12" t="str">
        <f t="shared" si="7"/>
        <v>42</v>
      </c>
      <c r="D79" s="27" t="str">
        <f t="shared" si="8"/>
        <v>420</v>
      </c>
      <c r="E79" s="28" t="s">
        <v>95</v>
      </c>
      <c r="F79" s="29">
        <v>234447</v>
      </c>
      <c r="G79" s="29">
        <v>0</v>
      </c>
      <c r="H79" s="29">
        <v>234447</v>
      </c>
      <c r="I79" s="29">
        <v>0</v>
      </c>
      <c r="J79" s="7">
        <f t="shared" si="9"/>
        <v>0</v>
      </c>
      <c r="K79" s="29">
        <v>0</v>
      </c>
      <c r="L79" s="29">
        <v>0</v>
      </c>
      <c r="M79" s="29">
        <v>0</v>
      </c>
      <c r="N79" s="7" t="str">
        <f t="shared" si="10"/>
        <v xml:space="preserve"> </v>
      </c>
      <c r="O79" s="29">
        <v>0</v>
      </c>
      <c r="P79" s="8">
        <f t="shared" si="11"/>
        <v>-234447</v>
      </c>
    </row>
    <row r="80" spans="1:16" x14ac:dyDescent="0.2">
      <c r="A80" s="26">
        <v>42010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91066743</v>
      </c>
      <c r="G80" s="29">
        <v>0</v>
      </c>
      <c r="H80" s="29">
        <v>91066743</v>
      </c>
      <c r="I80" s="29">
        <v>65579090.979999997</v>
      </c>
      <c r="J80" s="7">
        <f t="shared" si="9"/>
        <v>0.72012118606240261</v>
      </c>
      <c r="K80" s="29">
        <v>50463245.159999996</v>
      </c>
      <c r="L80" s="29">
        <v>3637295.96</v>
      </c>
      <c r="M80" s="29">
        <v>46825949.200000003</v>
      </c>
      <c r="N80" s="7">
        <f t="shared" si="10"/>
        <v>0.71403779009807811</v>
      </c>
      <c r="O80" s="29">
        <v>18753141.780000001</v>
      </c>
      <c r="P80" s="8">
        <f t="shared" si="11"/>
        <v>-25487652.020000003</v>
      </c>
    </row>
    <row r="81" spans="1:16" x14ac:dyDescent="0.2">
      <c r="A81" s="26">
        <v>42020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19422374</v>
      </c>
      <c r="G81" s="29">
        <v>0</v>
      </c>
      <c r="H81" s="29">
        <v>19422374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-19422374</v>
      </c>
    </row>
    <row r="82" spans="1:16" x14ac:dyDescent="0.2">
      <c r="A82" s="26">
        <v>42090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1500000</v>
      </c>
      <c r="G82" s="29">
        <v>1859267.59</v>
      </c>
      <c r="H82" s="29">
        <v>3359267.59</v>
      </c>
      <c r="I82" s="29">
        <v>1859267.59</v>
      </c>
      <c r="J82" s="7">
        <f t="shared" si="9"/>
        <v>0.55347409522681112</v>
      </c>
      <c r="K82" s="29">
        <v>1859267.59</v>
      </c>
      <c r="L82" s="29">
        <v>0</v>
      </c>
      <c r="M82" s="29">
        <v>1859267.59</v>
      </c>
      <c r="N82" s="7">
        <f t="shared" si="10"/>
        <v>1</v>
      </c>
      <c r="O82" s="29">
        <v>0</v>
      </c>
      <c r="P82" s="8">
        <f t="shared" si="11"/>
        <v>-1499999.9999999998</v>
      </c>
    </row>
    <row r="83" spans="1:16" x14ac:dyDescent="0.2">
      <c r="A83" s="26">
        <v>42091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69000</v>
      </c>
      <c r="G83" s="29">
        <v>0</v>
      </c>
      <c r="H83" s="29">
        <v>69000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-69000</v>
      </c>
    </row>
    <row r="84" spans="1:16" x14ac:dyDescent="0.2">
      <c r="A84" s="26">
        <v>42092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131000</v>
      </c>
      <c r="G84" s="29">
        <v>0</v>
      </c>
      <c r="H84" s="29">
        <v>131000</v>
      </c>
      <c r="I84" s="29">
        <v>65717.09</v>
      </c>
      <c r="J84" s="7">
        <f t="shared" si="9"/>
        <v>0.5016571755725191</v>
      </c>
      <c r="K84" s="29">
        <v>65717.09</v>
      </c>
      <c r="L84" s="29">
        <v>0</v>
      </c>
      <c r="M84" s="29">
        <v>65717.09</v>
      </c>
      <c r="N84" s="7">
        <f t="shared" si="10"/>
        <v>1</v>
      </c>
      <c r="O84" s="29">
        <v>0</v>
      </c>
      <c r="P84" s="8">
        <f t="shared" si="11"/>
        <v>-65282.91</v>
      </c>
    </row>
    <row r="85" spans="1:16" x14ac:dyDescent="0.2">
      <c r="A85" s="26">
        <v>42093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20000</v>
      </c>
      <c r="G85" s="29">
        <v>0</v>
      </c>
      <c r="H85" s="29">
        <v>20000</v>
      </c>
      <c r="I85" s="29">
        <v>0</v>
      </c>
      <c r="J85" s="7">
        <f t="shared" si="9"/>
        <v>0</v>
      </c>
      <c r="K85" s="29">
        <v>0</v>
      </c>
      <c r="L85" s="29">
        <v>0</v>
      </c>
      <c r="M85" s="29">
        <v>0</v>
      </c>
      <c r="N85" s="7" t="str">
        <f t="shared" si="10"/>
        <v xml:space="preserve"> </v>
      </c>
      <c r="O85" s="29">
        <v>0</v>
      </c>
      <c r="P85" s="8">
        <f t="shared" si="11"/>
        <v>-20000</v>
      </c>
    </row>
    <row r="86" spans="1:16" x14ac:dyDescent="0.2">
      <c r="A86" s="26">
        <v>42095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0</v>
      </c>
      <c r="G86" s="29">
        <v>0</v>
      </c>
      <c r="H86" s="29">
        <v>0</v>
      </c>
      <c r="I86" s="29">
        <v>39000</v>
      </c>
      <c r="J86" s="7" t="str">
        <f t="shared" si="9"/>
        <v xml:space="preserve"> </v>
      </c>
      <c r="K86" s="29">
        <v>39000</v>
      </c>
      <c r="L86" s="29">
        <v>0</v>
      </c>
      <c r="M86" s="29">
        <v>39000</v>
      </c>
      <c r="N86" s="7">
        <f t="shared" si="10"/>
        <v>1</v>
      </c>
      <c r="O86" s="29">
        <v>0</v>
      </c>
      <c r="P86" s="8">
        <f t="shared" si="11"/>
        <v>39000</v>
      </c>
    </row>
    <row r="87" spans="1:16" x14ac:dyDescent="0.2">
      <c r="A87" s="26">
        <v>42096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25000</v>
      </c>
      <c r="G87" s="29">
        <v>0</v>
      </c>
      <c r="H87" s="29">
        <v>25000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-25000</v>
      </c>
    </row>
    <row r="88" spans="1:16" x14ac:dyDescent="0.2">
      <c r="A88" s="26">
        <v>42097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0</v>
      </c>
      <c r="J88" s="7" t="str">
        <f t="shared" si="9"/>
        <v xml:space="preserve"> </v>
      </c>
      <c r="K88" s="29">
        <v>0</v>
      </c>
      <c r="L88" s="29">
        <v>0</v>
      </c>
      <c r="M88" s="29">
        <v>0</v>
      </c>
      <c r="N88" s="7" t="str">
        <f t="shared" si="10"/>
        <v xml:space="preserve"> </v>
      </c>
      <c r="O88" s="29">
        <v>0</v>
      </c>
      <c r="P88" s="8">
        <f t="shared" si="11"/>
        <v>0</v>
      </c>
    </row>
    <row r="89" spans="1:16" x14ac:dyDescent="0.2">
      <c r="A89" s="26">
        <v>42098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0</v>
      </c>
      <c r="G89" s="29">
        <v>0</v>
      </c>
      <c r="H89" s="29">
        <v>0</v>
      </c>
      <c r="I89" s="29">
        <v>0</v>
      </c>
      <c r="J89" s="7" t="str">
        <f t="shared" si="9"/>
        <v xml:space="preserve"> 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0</v>
      </c>
    </row>
    <row r="90" spans="1:16" x14ac:dyDescent="0.2">
      <c r="A90" s="26">
        <v>42099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25000</v>
      </c>
      <c r="J90" s="7" t="str">
        <f t="shared" si="9"/>
        <v xml:space="preserve"> </v>
      </c>
      <c r="K90" s="29">
        <v>25000</v>
      </c>
      <c r="L90" s="29">
        <v>0</v>
      </c>
      <c r="M90" s="29">
        <v>25000</v>
      </c>
      <c r="N90" s="7">
        <f t="shared" si="10"/>
        <v>1</v>
      </c>
      <c r="O90" s="29">
        <v>0</v>
      </c>
      <c r="P90" s="8">
        <f t="shared" si="11"/>
        <v>25000</v>
      </c>
    </row>
    <row r="91" spans="1:16" x14ac:dyDescent="0.2">
      <c r="A91" s="26">
        <v>42191</v>
      </c>
      <c r="B91" s="12" t="str">
        <f t="shared" si="6"/>
        <v>4</v>
      </c>
      <c r="C91" s="12" t="str">
        <f t="shared" si="7"/>
        <v>42</v>
      </c>
      <c r="D91" s="27" t="str">
        <f t="shared" si="8"/>
        <v>421</v>
      </c>
      <c r="E91" s="28" t="s">
        <v>189</v>
      </c>
      <c r="F91" s="29">
        <v>0</v>
      </c>
      <c r="G91" s="29">
        <v>0</v>
      </c>
      <c r="H91" s="29">
        <v>0</v>
      </c>
      <c r="I91" s="29">
        <v>3943.05</v>
      </c>
      <c r="J91" s="7" t="str">
        <f t="shared" si="9"/>
        <v xml:space="preserve"> </v>
      </c>
      <c r="K91" s="29">
        <v>3943.05</v>
      </c>
      <c r="L91" s="29">
        <v>0</v>
      </c>
      <c r="M91" s="29">
        <v>3943.05</v>
      </c>
      <c r="N91" s="7">
        <f t="shared" si="10"/>
        <v>1</v>
      </c>
      <c r="O91" s="29">
        <v>0</v>
      </c>
      <c r="P91" s="8">
        <f t="shared" si="11"/>
        <v>3943.05</v>
      </c>
    </row>
    <row r="92" spans="1:16" x14ac:dyDescent="0.2">
      <c r="A92" s="26">
        <v>45001</v>
      </c>
      <c r="B92" s="12" t="str">
        <f t="shared" si="6"/>
        <v>4</v>
      </c>
      <c r="C92" s="12" t="str">
        <f t="shared" si="7"/>
        <v>45</v>
      </c>
      <c r="D92" s="27" t="str">
        <f t="shared" si="8"/>
        <v>450</v>
      </c>
      <c r="E92" s="28" t="s">
        <v>107</v>
      </c>
      <c r="F92" s="29">
        <v>597883</v>
      </c>
      <c r="G92" s="29">
        <v>0</v>
      </c>
      <c r="H92" s="29">
        <v>597883</v>
      </c>
      <c r="I92" s="29">
        <v>0</v>
      </c>
      <c r="J92" s="7">
        <f t="shared" si="9"/>
        <v>0</v>
      </c>
      <c r="K92" s="29">
        <v>0</v>
      </c>
      <c r="L92" s="29">
        <v>0</v>
      </c>
      <c r="M92" s="29">
        <v>0</v>
      </c>
      <c r="N92" s="7" t="str">
        <f t="shared" si="10"/>
        <v xml:space="preserve"> </v>
      </c>
      <c r="O92" s="29">
        <v>0</v>
      </c>
      <c r="P92" s="8">
        <f t="shared" si="11"/>
        <v>-597883</v>
      </c>
    </row>
    <row r="93" spans="1:16" x14ac:dyDescent="0.2">
      <c r="A93" s="26">
        <v>45002</v>
      </c>
      <c r="B93" s="12" t="str">
        <f t="shared" si="6"/>
        <v>4</v>
      </c>
      <c r="C93" s="12" t="str">
        <f t="shared" si="7"/>
        <v>45</v>
      </c>
      <c r="D93" s="27" t="str">
        <f t="shared" si="8"/>
        <v>450</v>
      </c>
      <c r="E93" s="28" t="s">
        <v>108</v>
      </c>
      <c r="F93" s="29">
        <v>10508800</v>
      </c>
      <c r="G93" s="29">
        <v>0</v>
      </c>
      <c r="H93" s="29">
        <v>10508800</v>
      </c>
      <c r="I93" s="29">
        <v>1819320.15</v>
      </c>
      <c r="J93" s="7">
        <f t="shared" si="9"/>
        <v>0.17312349174025576</v>
      </c>
      <c r="K93" s="29">
        <v>1819320.15</v>
      </c>
      <c r="L93" s="29">
        <v>0</v>
      </c>
      <c r="M93" s="29">
        <v>1819320.15</v>
      </c>
      <c r="N93" s="7">
        <f t="shared" si="10"/>
        <v>1</v>
      </c>
      <c r="O93" s="29">
        <v>0</v>
      </c>
      <c r="P93" s="8">
        <f t="shared" si="11"/>
        <v>-8689479.8499999996</v>
      </c>
    </row>
    <row r="94" spans="1:16" x14ac:dyDescent="0.2">
      <c r="A94" s="26">
        <v>45004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109</v>
      </c>
      <c r="F94" s="29">
        <v>3243068</v>
      </c>
      <c r="G94" s="29">
        <v>0</v>
      </c>
      <c r="H94" s="29">
        <v>3243068</v>
      </c>
      <c r="I94" s="29">
        <v>167240.74</v>
      </c>
      <c r="J94" s="7">
        <f t="shared" si="9"/>
        <v>5.156868126107747E-2</v>
      </c>
      <c r="K94" s="29">
        <v>167240.74</v>
      </c>
      <c r="L94" s="29">
        <v>0</v>
      </c>
      <c r="M94" s="29">
        <v>167240.74</v>
      </c>
      <c r="N94" s="7">
        <f t="shared" si="10"/>
        <v>1</v>
      </c>
      <c r="O94" s="29">
        <v>0</v>
      </c>
      <c r="P94" s="8">
        <f t="shared" si="11"/>
        <v>-3075827.26</v>
      </c>
    </row>
    <row r="95" spans="1:16" x14ac:dyDescent="0.2">
      <c r="A95" s="26">
        <v>45005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110</v>
      </c>
      <c r="F95" s="29">
        <v>845899</v>
      </c>
      <c r="G95" s="29">
        <v>0</v>
      </c>
      <c r="H95" s="29">
        <v>845899</v>
      </c>
      <c r="I95" s="29">
        <v>38448.29</v>
      </c>
      <c r="J95" s="7">
        <f t="shared" si="9"/>
        <v>4.5452577671802427E-2</v>
      </c>
      <c r="K95" s="29">
        <v>38448.29</v>
      </c>
      <c r="L95" s="29">
        <v>0</v>
      </c>
      <c r="M95" s="29">
        <v>38448.29</v>
      </c>
      <c r="N95" s="7">
        <f t="shared" si="10"/>
        <v>1</v>
      </c>
      <c r="O95" s="29">
        <v>0</v>
      </c>
      <c r="P95" s="8">
        <f t="shared" si="11"/>
        <v>-807450.71</v>
      </c>
    </row>
    <row r="96" spans="1:16" x14ac:dyDescent="0.2">
      <c r="A96" s="26">
        <v>45007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111</v>
      </c>
      <c r="F96" s="29">
        <v>455360</v>
      </c>
      <c r="G96" s="29">
        <v>0</v>
      </c>
      <c r="H96" s="29">
        <v>455360</v>
      </c>
      <c r="I96" s="29">
        <v>21011.56</v>
      </c>
      <c r="J96" s="7">
        <f t="shared" si="9"/>
        <v>4.614274420238932E-2</v>
      </c>
      <c r="K96" s="29">
        <v>21011.56</v>
      </c>
      <c r="L96" s="29">
        <v>0</v>
      </c>
      <c r="M96" s="29">
        <v>21011.56</v>
      </c>
      <c r="N96" s="7">
        <f t="shared" si="10"/>
        <v>1</v>
      </c>
      <c r="O96" s="29">
        <v>0</v>
      </c>
      <c r="P96" s="8">
        <f t="shared" si="11"/>
        <v>-434348.44</v>
      </c>
    </row>
    <row r="97" spans="1:16" x14ac:dyDescent="0.2">
      <c r="A97" s="26">
        <v>45008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112</v>
      </c>
      <c r="F97" s="29">
        <v>1375</v>
      </c>
      <c r="G97" s="29">
        <v>0</v>
      </c>
      <c r="H97" s="29">
        <v>1375</v>
      </c>
      <c r="I97" s="29">
        <v>0</v>
      </c>
      <c r="J97" s="7">
        <f t="shared" si="9"/>
        <v>0</v>
      </c>
      <c r="K97" s="29">
        <v>0</v>
      </c>
      <c r="L97" s="29">
        <v>0</v>
      </c>
      <c r="M97" s="29">
        <v>0</v>
      </c>
      <c r="N97" s="7" t="str">
        <f t="shared" si="10"/>
        <v xml:space="preserve"> </v>
      </c>
      <c r="O97" s="29">
        <v>0</v>
      </c>
      <c r="P97" s="8">
        <f t="shared" si="11"/>
        <v>-1375</v>
      </c>
    </row>
    <row r="98" spans="1:16" x14ac:dyDescent="0.2">
      <c r="A98" s="26">
        <v>45009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113</v>
      </c>
      <c r="F98" s="29">
        <v>19500</v>
      </c>
      <c r="G98" s="29">
        <v>0</v>
      </c>
      <c r="H98" s="29">
        <v>19500</v>
      </c>
      <c r="I98" s="29">
        <v>0</v>
      </c>
      <c r="J98" s="7">
        <f t="shared" si="9"/>
        <v>0</v>
      </c>
      <c r="K98" s="29">
        <v>0</v>
      </c>
      <c r="L98" s="29">
        <v>0</v>
      </c>
      <c r="M98" s="29">
        <v>0</v>
      </c>
      <c r="N98" s="7" t="str">
        <f t="shared" si="10"/>
        <v xml:space="preserve"> </v>
      </c>
      <c r="O98" s="29">
        <v>0</v>
      </c>
      <c r="P98" s="8">
        <f t="shared" si="11"/>
        <v>-19500</v>
      </c>
    </row>
    <row r="99" spans="1:16" x14ac:dyDescent="0.2">
      <c r="A99" s="26">
        <v>45010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114</v>
      </c>
      <c r="F99" s="29">
        <v>88000</v>
      </c>
      <c r="G99" s="29">
        <v>0</v>
      </c>
      <c r="H99" s="29">
        <v>88000</v>
      </c>
      <c r="I99" s="29">
        <v>0</v>
      </c>
      <c r="J99" s="7">
        <f t="shared" si="9"/>
        <v>0</v>
      </c>
      <c r="K99" s="29">
        <v>0</v>
      </c>
      <c r="L99" s="29">
        <v>0</v>
      </c>
      <c r="M99" s="29">
        <v>0</v>
      </c>
      <c r="N99" s="7" t="str">
        <f t="shared" si="10"/>
        <v xml:space="preserve"> </v>
      </c>
      <c r="O99" s="29">
        <v>0</v>
      </c>
      <c r="P99" s="8">
        <f t="shared" si="11"/>
        <v>-88000</v>
      </c>
    </row>
    <row r="100" spans="1:16" x14ac:dyDescent="0.2">
      <c r="A100" s="26">
        <v>45011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115</v>
      </c>
      <c r="F100" s="29">
        <v>810233</v>
      </c>
      <c r="G100" s="29">
        <v>0</v>
      </c>
      <c r="H100" s="29">
        <v>810233</v>
      </c>
      <c r="I100" s="29">
        <v>0</v>
      </c>
      <c r="J100" s="7">
        <f t="shared" si="9"/>
        <v>0</v>
      </c>
      <c r="K100" s="29">
        <v>0</v>
      </c>
      <c r="L100" s="29">
        <v>0</v>
      </c>
      <c r="M100" s="29">
        <v>0</v>
      </c>
      <c r="N100" s="7" t="str">
        <f t="shared" si="10"/>
        <v xml:space="preserve"> </v>
      </c>
      <c r="O100" s="29">
        <v>0</v>
      </c>
      <c r="P100" s="8">
        <f t="shared" si="11"/>
        <v>-810233</v>
      </c>
    </row>
    <row r="101" spans="1:16" x14ac:dyDescent="0.2">
      <c r="A101" s="26">
        <v>45016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116</v>
      </c>
      <c r="F101" s="29">
        <v>167200</v>
      </c>
      <c r="G101" s="29">
        <v>0</v>
      </c>
      <c r="H101" s="29">
        <v>167200</v>
      </c>
      <c r="I101" s="29">
        <v>162873.63</v>
      </c>
      <c r="J101" s="7">
        <f t="shared" si="9"/>
        <v>0.97412458133971291</v>
      </c>
      <c r="K101" s="29">
        <v>162873.63</v>
      </c>
      <c r="L101" s="29">
        <v>0</v>
      </c>
      <c r="M101" s="29">
        <v>162873.63</v>
      </c>
      <c r="N101" s="7">
        <f t="shared" si="10"/>
        <v>1</v>
      </c>
      <c r="O101" s="29">
        <v>0</v>
      </c>
      <c r="P101" s="8">
        <f t="shared" si="11"/>
        <v>-4326.3699999999953</v>
      </c>
    </row>
    <row r="102" spans="1:16" x14ac:dyDescent="0.2">
      <c r="A102" s="26">
        <v>45017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117</v>
      </c>
      <c r="F102" s="29">
        <v>391340</v>
      </c>
      <c r="G102" s="29">
        <v>0</v>
      </c>
      <c r="H102" s="29">
        <v>391340</v>
      </c>
      <c r="I102" s="29">
        <v>34294.980000000003</v>
      </c>
      <c r="J102" s="7">
        <f t="shared" si="9"/>
        <v>8.763474216793582E-2</v>
      </c>
      <c r="K102" s="29">
        <v>34294.980000000003</v>
      </c>
      <c r="L102" s="29">
        <v>0</v>
      </c>
      <c r="M102" s="29">
        <v>34294.980000000003</v>
      </c>
      <c r="N102" s="7">
        <f t="shared" si="10"/>
        <v>1</v>
      </c>
      <c r="O102" s="29">
        <v>0</v>
      </c>
      <c r="P102" s="8">
        <f t="shared" si="11"/>
        <v>-357045.02</v>
      </c>
    </row>
    <row r="103" spans="1:16" x14ac:dyDescent="0.2">
      <c r="A103" s="26">
        <v>45018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118</v>
      </c>
      <c r="F103" s="29">
        <v>10500</v>
      </c>
      <c r="G103" s="29">
        <v>0</v>
      </c>
      <c r="H103" s="29">
        <v>10500</v>
      </c>
      <c r="I103" s="29">
        <v>0</v>
      </c>
      <c r="J103" s="7">
        <f t="shared" si="9"/>
        <v>0</v>
      </c>
      <c r="K103" s="29">
        <v>0</v>
      </c>
      <c r="L103" s="29">
        <v>0</v>
      </c>
      <c r="M103" s="29">
        <v>0</v>
      </c>
      <c r="N103" s="7" t="str">
        <f t="shared" si="10"/>
        <v xml:space="preserve"> </v>
      </c>
      <c r="O103" s="29">
        <v>0</v>
      </c>
      <c r="P103" s="8">
        <f t="shared" si="11"/>
        <v>-10500</v>
      </c>
    </row>
    <row r="104" spans="1:16" x14ac:dyDescent="0.2">
      <c r="A104" s="26">
        <v>45034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119</v>
      </c>
      <c r="F104" s="29">
        <v>0</v>
      </c>
      <c r="G104" s="29">
        <v>0</v>
      </c>
      <c r="H104" s="29">
        <v>0</v>
      </c>
      <c r="I104" s="29">
        <v>66478.5</v>
      </c>
      <c r="J104" s="7" t="str">
        <f t="shared" si="9"/>
        <v xml:space="preserve"> </v>
      </c>
      <c r="K104" s="29">
        <v>66478.5</v>
      </c>
      <c r="L104" s="29">
        <v>0</v>
      </c>
      <c r="M104" s="29">
        <v>66478.5</v>
      </c>
      <c r="N104" s="7">
        <f t="shared" si="10"/>
        <v>1</v>
      </c>
      <c r="O104" s="29">
        <v>0</v>
      </c>
      <c r="P104" s="8">
        <f t="shared" si="11"/>
        <v>66478.5</v>
      </c>
    </row>
    <row r="105" spans="1:16" x14ac:dyDescent="0.2">
      <c r="A105" s="26">
        <v>45035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120</v>
      </c>
      <c r="F105" s="29">
        <v>0</v>
      </c>
      <c r="G105" s="29">
        <v>0</v>
      </c>
      <c r="H105" s="29">
        <v>0</v>
      </c>
      <c r="I105" s="29">
        <v>1320849.98</v>
      </c>
      <c r="J105" s="7" t="str">
        <f t="shared" si="9"/>
        <v xml:space="preserve"> </v>
      </c>
      <c r="K105" s="29">
        <v>1320849.98</v>
      </c>
      <c r="L105" s="29">
        <v>0</v>
      </c>
      <c r="M105" s="29">
        <v>1320849.98</v>
      </c>
      <c r="N105" s="7">
        <f t="shared" si="10"/>
        <v>1</v>
      </c>
      <c r="O105" s="29">
        <v>0</v>
      </c>
      <c r="P105" s="8">
        <f t="shared" si="11"/>
        <v>1320849.98</v>
      </c>
    </row>
    <row r="106" spans="1:16" x14ac:dyDescent="0.2">
      <c r="A106" s="26">
        <v>45060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121</v>
      </c>
      <c r="F106" s="29">
        <v>74457</v>
      </c>
      <c r="G106" s="29">
        <v>0</v>
      </c>
      <c r="H106" s="29">
        <v>74457</v>
      </c>
      <c r="I106" s="29">
        <v>1705.39</v>
      </c>
      <c r="J106" s="7">
        <f t="shared" si="9"/>
        <v>2.2904360906294909E-2</v>
      </c>
      <c r="K106" s="29">
        <v>1705.39</v>
      </c>
      <c r="L106" s="29">
        <v>0</v>
      </c>
      <c r="M106" s="29">
        <v>1705.39</v>
      </c>
      <c r="N106" s="7">
        <f t="shared" si="10"/>
        <v>1</v>
      </c>
      <c r="O106" s="29">
        <v>0</v>
      </c>
      <c r="P106" s="8">
        <f t="shared" si="11"/>
        <v>-72751.61</v>
      </c>
    </row>
    <row r="107" spans="1:16" x14ac:dyDescent="0.2">
      <c r="A107" s="26">
        <v>45081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122</v>
      </c>
      <c r="F107" s="29">
        <v>217540</v>
      </c>
      <c r="G107" s="29">
        <v>0</v>
      </c>
      <c r="H107" s="29">
        <v>217540</v>
      </c>
      <c r="I107" s="29">
        <v>107793.51</v>
      </c>
      <c r="J107" s="7">
        <f t="shared" si="9"/>
        <v>0.49551121632803158</v>
      </c>
      <c r="K107" s="29">
        <v>107793.51</v>
      </c>
      <c r="L107" s="29">
        <v>0</v>
      </c>
      <c r="M107" s="29">
        <v>107793.51</v>
      </c>
      <c r="N107" s="7">
        <f t="shared" si="10"/>
        <v>1</v>
      </c>
      <c r="O107" s="29">
        <v>0</v>
      </c>
      <c r="P107" s="8">
        <f t="shared" si="11"/>
        <v>-109746.49</v>
      </c>
    </row>
    <row r="108" spans="1:16" x14ac:dyDescent="0.2">
      <c r="A108" s="26">
        <v>45082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123</v>
      </c>
      <c r="F108" s="29">
        <v>1680000</v>
      </c>
      <c r="G108" s="29">
        <v>0</v>
      </c>
      <c r="H108" s="29">
        <v>1680000</v>
      </c>
      <c r="I108" s="29">
        <v>845287.95</v>
      </c>
      <c r="J108" s="7">
        <f t="shared" si="9"/>
        <v>0.50314758928571424</v>
      </c>
      <c r="K108" s="29">
        <v>845287.95</v>
      </c>
      <c r="L108" s="29">
        <v>0</v>
      </c>
      <c r="M108" s="29">
        <v>845287.95</v>
      </c>
      <c r="N108" s="7">
        <f t="shared" si="10"/>
        <v>1</v>
      </c>
      <c r="O108" s="29">
        <v>0</v>
      </c>
      <c r="P108" s="8">
        <f t="shared" si="11"/>
        <v>-834712.05</v>
      </c>
    </row>
    <row r="109" spans="1:16" x14ac:dyDescent="0.2">
      <c r="A109" s="26">
        <v>45084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124</v>
      </c>
      <c r="F109" s="29">
        <v>570000</v>
      </c>
      <c r="G109" s="29">
        <v>0</v>
      </c>
      <c r="H109" s="29">
        <v>570000</v>
      </c>
      <c r="I109" s="29">
        <v>550179.22</v>
      </c>
      <c r="J109" s="7">
        <f t="shared" si="9"/>
        <v>0.96522670175438596</v>
      </c>
      <c r="K109" s="29">
        <v>550179.22</v>
      </c>
      <c r="L109" s="29">
        <v>0</v>
      </c>
      <c r="M109" s="29">
        <v>550179.22</v>
      </c>
      <c r="N109" s="7">
        <f t="shared" si="10"/>
        <v>1</v>
      </c>
      <c r="O109" s="29">
        <v>0</v>
      </c>
      <c r="P109" s="8">
        <f t="shared" si="11"/>
        <v>-19820.780000000028</v>
      </c>
    </row>
    <row r="110" spans="1:16" x14ac:dyDescent="0.2">
      <c r="A110" s="26">
        <v>45085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125</v>
      </c>
      <c r="F110" s="29">
        <v>0</v>
      </c>
      <c r="G110" s="29">
        <v>1500000</v>
      </c>
      <c r="H110" s="29">
        <v>1500000</v>
      </c>
      <c r="I110" s="29">
        <v>1500000</v>
      </c>
      <c r="J110" s="7">
        <f t="shared" si="9"/>
        <v>1</v>
      </c>
      <c r="K110" s="29">
        <v>1500000</v>
      </c>
      <c r="L110" s="29">
        <v>0</v>
      </c>
      <c r="M110" s="29">
        <v>1500000</v>
      </c>
      <c r="N110" s="7">
        <f t="shared" si="10"/>
        <v>1</v>
      </c>
      <c r="O110" s="29">
        <v>0</v>
      </c>
      <c r="P110" s="8">
        <f t="shared" si="11"/>
        <v>0</v>
      </c>
    </row>
    <row r="111" spans="1:16" x14ac:dyDescent="0.2">
      <c r="A111" s="26">
        <v>45086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126</v>
      </c>
      <c r="F111" s="29">
        <v>0</v>
      </c>
      <c r="G111" s="29">
        <v>0</v>
      </c>
      <c r="H111" s="29">
        <v>0</v>
      </c>
      <c r="I111" s="29">
        <v>22500</v>
      </c>
      <c r="J111" s="7" t="str">
        <f t="shared" si="9"/>
        <v xml:space="preserve"> </v>
      </c>
      <c r="K111" s="29">
        <v>22500</v>
      </c>
      <c r="L111" s="29">
        <v>0</v>
      </c>
      <c r="M111" s="29">
        <v>22500</v>
      </c>
      <c r="N111" s="7">
        <f t="shared" si="10"/>
        <v>1</v>
      </c>
      <c r="O111" s="29">
        <v>0</v>
      </c>
      <c r="P111" s="8">
        <f t="shared" si="11"/>
        <v>22500</v>
      </c>
    </row>
    <row r="112" spans="1:16" x14ac:dyDescent="0.2">
      <c r="A112" s="26">
        <v>45088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127</v>
      </c>
      <c r="F112" s="29">
        <v>1981175</v>
      </c>
      <c r="G112" s="29">
        <v>0</v>
      </c>
      <c r="H112" s="29">
        <v>1981175</v>
      </c>
      <c r="I112" s="29">
        <v>0</v>
      </c>
      <c r="J112" s="7">
        <f t="shared" si="9"/>
        <v>0</v>
      </c>
      <c r="K112" s="29">
        <v>0</v>
      </c>
      <c r="L112" s="29">
        <v>0</v>
      </c>
      <c r="M112" s="29">
        <v>0</v>
      </c>
      <c r="N112" s="7" t="str">
        <f t="shared" si="10"/>
        <v xml:space="preserve"> </v>
      </c>
      <c r="O112" s="29">
        <v>0</v>
      </c>
      <c r="P112" s="8">
        <f t="shared" si="11"/>
        <v>-1981175</v>
      </c>
    </row>
    <row r="113" spans="1:16" x14ac:dyDescent="0.2">
      <c r="A113" s="26">
        <v>45091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128</v>
      </c>
      <c r="F113" s="29">
        <v>66479</v>
      </c>
      <c r="G113" s="29">
        <v>0</v>
      </c>
      <c r="H113" s="29">
        <v>66479</v>
      </c>
      <c r="I113" s="29">
        <v>0</v>
      </c>
      <c r="J113" s="7">
        <f t="shared" si="9"/>
        <v>0</v>
      </c>
      <c r="K113" s="29">
        <v>0</v>
      </c>
      <c r="L113" s="29">
        <v>0</v>
      </c>
      <c r="M113" s="29">
        <v>0</v>
      </c>
      <c r="N113" s="7" t="str">
        <f t="shared" si="10"/>
        <v xml:space="preserve"> </v>
      </c>
      <c r="O113" s="29">
        <v>0</v>
      </c>
      <c r="P113" s="8">
        <f t="shared" si="11"/>
        <v>-66479</v>
      </c>
    </row>
    <row r="114" spans="1:16" x14ac:dyDescent="0.2">
      <c r="A114" s="26">
        <v>45161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451</v>
      </c>
      <c r="E114" s="28" t="s">
        <v>129</v>
      </c>
      <c r="F114" s="29">
        <v>201930</v>
      </c>
      <c r="G114" s="29">
        <v>0</v>
      </c>
      <c r="H114" s="29">
        <v>201930</v>
      </c>
      <c r="I114" s="29">
        <v>121158.18</v>
      </c>
      <c r="J114" s="7">
        <f t="shared" si="9"/>
        <v>0.60000089139800916</v>
      </c>
      <c r="K114" s="29">
        <v>121158.18</v>
      </c>
      <c r="L114" s="29">
        <v>0</v>
      </c>
      <c r="M114" s="29">
        <v>121158.18</v>
      </c>
      <c r="N114" s="7">
        <f t="shared" si="10"/>
        <v>1</v>
      </c>
      <c r="O114" s="29">
        <v>0</v>
      </c>
      <c r="P114" s="8">
        <f t="shared" si="11"/>
        <v>-80771.820000000007</v>
      </c>
    </row>
    <row r="115" spans="1:16" x14ac:dyDescent="0.2">
      <c r="A115" s="26">
        <v>45162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451</v>
      </c>
      <c r="E115" s="28" t="s">
        <v>130</v>
      </c>
      <c r="F115" s="29">
        <v>161544</v>
      </c>
      <c r="G115" s="29">
        <v>0</v>
      </c>
      <c r="H115" s="29">
        <v>161544</v>
      </c>
      <c r="I115" s="29">
        <v>96926.54</v>
      </c>
      <c r="J115" s="7">
        <f t="shared" si="9"/>
        <v>0.6000008666369534</v>
      </c>
      <c r="K115" s="29">
        <v>96926.54</v>
      </c>
      <c r="L115" s="29">
        <v>0</v>
      </c>
      <c r="M115" s="29">
        <v>96926.54</v>
      </c>
      <c r="N115" s="7">
        <f t="shared" si="10"/>
        <v>1</v>
      </c>
      <c r="O115" s="29">
        <v>0</v>
      </c>
      <c r="P115" s="8">
        <f t="shared" si="11"/>
        <v>-64617.460000000006</v>
      </c>
    </row>
    <row r="116" spans="1:16" x14ac:dyDescent="0.2">
      <c r="A116" s="26">
        <v>45164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451</v>
      </c>
      <c r="E116" s="28" t="s">
        <v>131</v>
      </c>
      <c r="F116" s="29">
        <v>0</v>
      </c>
      <c r="G116" s="29">
        <v>82320</v>
      </c>
      <c r="H116" s="29">
        <v>82320</v>
      </c>
      <c r="I116" s="29">
        <v>72345</v>
      </c>
      <c r="J116" s="7">
        <f t="shared" si="9"/>
        <v>0.87882653061224492</v>
      </c>
      <c r="K116" s="29">
        <v>82320</v>
      </c>
      <c r="L116" s="29">
        <v>9975</v>
      </c>
      <c r="M116" s="29">
        <v>72345</v>
      </c>
      <c r="N116" s="7">
        <f t="shared" si="10"/>
        <v>1</v>
      </c>
      <c r="O116" s="29">
        <v>0</v>
      </c>
      <c r="P116" s="8">
        <f t="shared" si="11"/>
        <v>-9975</v>
      </c>
    </row>
    <row r="117" spans="1:16" x14ac:dyDescent="0.2">
      <c r="A117" s="26">
        <v>45167</v>
      </c>
      <c r="B117" s="12" t="str">
        <f t="shared" si="6"/>
        <v>4</v>
      </c>
      <c r="C117" s="12" t="str">
        <f t="shared" si="7"/>
        <v>45</v>
      </c>
      <c r="D117" s="27" t="str">
        <f t="shared" si="8"/>
        <v>451</v>
      </c>
      <c r="E117" s="28" t="s">
        <v>132</v>
      </c>
      <c r="F117" s="29">
        <v>0</v>
      </c>
      <c r="G117" s="29">
        <v>0</v>
      </c>
      <c r="H117" s="29">
        <v>0</v>
      </c>
      <c r="I117" s="29">
        <v>67646.09</v>
      </c>
      <c r="J117" s="7" t="str">
        <f t="shared" si="9"/>
        <v xml:space="preserve"> </v>
      </c>
      <c r="K117" s="29">
        <v>67646.09</v>
      </c>
      <c r="L117" s="29">
        <v>0</v>
      </c>
      <c r="M117" s="29">
        <v>67646.09</v>
      </c>
      <c r="N117" s="7">
        <f t="shared" si="10"/>
        <v>1</v>
      </c>
      <c r="O117" s="29">
        <v>0</v>
      </c>
      <c r="P117" s="8">
        <f t="shared" si="11"/>
        <v>67646.09</v>
      </c>
    </row>
    <row r="118" spans="1:16" x14ac:dyDescent="0.2">
      <c r="A118" s="26">
        <v>45168</v>
      </c>
      <c r="B118" s="12" t="str">
        <f t="shared" si="6"/>
        <v>4</v>
      </c>
      <c r="C118" s="12" t="str">
        <f t="shared" si="7"/>
        <v>45</v>
      </c>
      <c r="D118" s="27" t="str">
        <f t="shared" si="8"/>
        <v>451</v>
      </c>
      <c r="E118" s="28" t="s">
        <v>133</v>
      </c>
      <c r="F118" s="29">
        <v>242316</v>
      </c>
      <c r="G118" s="29">
        <v>0</v>
      </c>
      <c r="H118" s="29">
        <v>242316</v>
      </c>
      <c r="I118" s="29">
        <v>145389.82</v>
      </c>
      <c r="J118" s="7">
        <f t="shared" si="9"/>
        <v>0.60000090790537974</v>
      </c>
      <c r="K118" s="29">
        <v>145389.82</v>
      </c>
      <c r="L118" s="29">
        <v>0</v>
      </c>
      <c r="M118" s="29">
        <v>145389.82</v>
      </c>
      <c r="N118" s="7">
        <f t="shared" si="10"/>
        <v>1</v>
      </c>
      <c r="O118" s="29">
        <v>0</v>
      </c>
      <c r="P118" s="8">
        <f t="shared" si="11"/>
        <v>-96926.18</v>
      </c>
    </row>
    <row r="119" spans="1:16" x14ac:dyDescent="0.2">
      <c r="A119" s="26">
        <v>45169</v>
      </c>
      <c r="B119" s="12" t="str">
        <f t="shared" si="6"/>
        <v>4</v>
      </c>
      <c r="C119" s="12" t="str">
        <f t="shared" si="7"/>
        <v>45</v>
      </c>
      <c r="D119" s="27" t="str">
        <f t="shared" si="8"/>
        <v>451</v>
      </c>
      <c r="E119" s="28" t="s">
        <v>134</v>
      </c>
      <c r="F119" s="29">
        <v>63092</v>
      </c>
      <c r="G119" s="29">
        <v>0</v>
      </c>
      <c r="H119" s="29">
        <v>63092</v>
      </c>
      <c r="I119" s="29">
        <v>0</v>
      </c>
      <c r="J119" s="7">
        <f t="shared" si="9"/>
        <v>0</v>
      </c>
      <c r="K119" s="29">
        <v>0</v>
      </c>
      <c r="L119" s="29">
        <v>0</v>
      </c>
      <c r="M119" s="29">
        <v>0</v>
      </c>
      <c r="N119" s="7" t="str">
        <f t="shared" si="10"/>
        <v xml:space="preserve"> </v>
      </c>
      <c r="O119" s="29">
        <v>0</v>
      </c>
      <c r="P119" s="8">
        <f t="shared" si="11"/>
        <v>-63092</v>
      </c>
    </row>
    <row r="120" spans="1:16" x14ac:dyDescent="0.2">
      <c r="A120" s="26">
        <v>45170</v>
      </c>
      <c r="B120" s="12" t="str">
        <f t="shared" si="6"/>
        <v>4</v>
      </c>
      <c r="C120" s="12" t="str">
        <f t="shared" si="7"/>
        <v>45</v>
      </c>
      <c r="D120" s="27" t="str">
        <f t="shared" si="8"/>
        <v>451</v>
      </c>
      <c r="E120" s="28" t="s">
        <v>135</v>
      </c>
      <c r="F120" s="29">
        <v>0</v>
      </c>
      <c r="G120" s="29">
        <v>0</v>
      </c>
      <c r="H120" s="29">
        <v>0</v>
      </c>
      <c r="I120" s="29">
        <v>0</v>
      </c>
      <c r="J120" s="7" t="str">
        <f t="shared" si="9"/>
        <v xml:space="preserve"> </v>
      </c>
      <c r="K120" s="29">
        <v>0</v>
      </c>
      <c r="L120" s="29">
        <v>0</v>
      </c>
      <c r="M120" s="29">
        <v>0</v>
      </c>
      <c r="N120" s="7" t="str">
        <f t="shared" si="10"/>
        <v xml:space="preserve"> </v>
      </c>
      <c r="O120" s="29">
        <v>0</v>
      </c>
      <c r="P120" s="8">
        <f t="shared" si="11"/>
        <v>0</v>
      </c>
    </row>
    <row r="121" spans="1:16" x14ac:dyDescent="0.2">
      <c r="A121" s="26">
        <v>45171</v>
      </c>
      <c r="B121" s="12" t="str">
        <f t="shared" si="6"/>
        <v>4</v>
      </c>
      <c r="C121" s="12" t="str">
        <f t="shared" si="7"/>
        <v>45</v>
      </c>
      <c r="D121" s="27" t="str">
        <f t="shared" si="8"/>
        <v>451</v>
      </c>
      <c r="E121" s="28" t="s">
        <v>136</v>
      </c>
      <c r="F121" s="29">
        <v>0</v>
      </c>
      <c r="G121" s="29">
        <v>0</v>
      </c>
      <c r="H121" s="29">
        <v>0</v>
      </c>
      <c r="I121" s="29">
        <v>99750</v>
      </c>
      <c r="J121" s="7" t="str">
        <f t="shared" si="9"/>
        <v xml:space="preserve"> </v>
      </c>
      <c r="K121" s="29">
        <v>99750</v>
      </c>
      <c r="L121" s="29">
        <v>0</v>
      </c>
      <c r="M121" s="29">
        <v>99750</v>
      </c>
      <c r="N121" s="7">
        <f t="shared" si="10"/>
        <v>1</v>
      </c>
      <c r="O121" s="29">
        <v>0</v>
      </c>
      <c r="P121" s="8">
        <f t="shared" si="11"/>
        <v>99750</v>
      </c>
    </row>
    <row r="122" spans="1:16" x14ac:dyDescent="0.2">
      <c r="A122" s="26">
        <v>46164</v>
      </c>
      <c r="B122" s="12" t="str">
        <f t="shared" si="6"/>
        <v>4</v>
      </c>
      <c r="C122" s="12" t="str">
        <f t="shared" si="7"/>
        <v>46</v>
      </c>
      <c r="D122" s="27" t="str">
        <f t="shared" si="8"/>
        <v>461</v>
      </c>
      <c r="E122" s="28" t="s">
        <v>137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9"/>
        <v xml:space="preserve"> </v>
      </c>
      <c r="K122" s="29">
        <v>0</v>
      </c>
      <c r="L122" s="29">
        <v>0</v>
      </c>
      <c r="M122" s="29">
        <v>0</v>
      </c>
      <c r="N122" s="7" t="str">
        <f t="shared" si="10"/>
        <v xml:space="preserve"> </v>
      </c>
      <c r="O122" s="29">
        <v>0</v>
      </c>
      <c r="P122" s="8">
        <f t="shared" si="11"/>
        <v>0</v>
      </c>
    </row>
    <row r="123" spans="1:16" x14ac:dyDescent="0.2">
      <c r="A123" s="26">
        <v>49015</v>
      </c>
      <c r="B123" s="12" t="str">
        <f t="shared" si="6"/>
        <v>4</v>
      </c>
      <c r="C123" s="12" t="str">
        <f t="shared" si="7"/>
        <v>49</v>
      </c>
      <c r="D123" s="27" t="str">
        <f t="shared" si="8"/>
        <v>490</v>
      </c>
      <c r="E123" s="28" t="s">
        <v>138</v>
      </c>
      <c r="F123" s="29">
        <v>27528</v>
      </c>
      <c r="G123" s="29">
        <v>0</v>
      </c>
      <c r="H123" s="29">
        <v>27528</v>
      </c>
      <c r="I123" s="29">
        <v>0</v>
      </c>
      <c r="J123" s="7">
        <f t="shared" si="9"/>
        <v>0</v>
      </c>
      <c r="K123" s="29">
        <v>0</v>
      </c>
      <c r="L123" s="29">
        <v>0</v>
      </c>
      <c r="M123" s="29">
        <v>0</v>
      </c>
      <c r="N123" s="7" t="str">
        <f t="shared" si="10"/>
        <v xml:space="preserve"> </v>
      </c>
      <c r="O123" s="29">
        <v>0</v>
      </c>
      <c r="P123" s="8">
        <f t="shared" si="11"/>
        <v>-27528</v>
      </c>
    </row>
    <row r="124" spans="1:16" x14ac:dyDescent="0.2">
      <c r="A124" s="26">
        <v>49115</v>
      </c>
      <c r="B124" s="12" t="str">
        <f t="shared" si="6"/>
        <v>4</v>
      </c>
      <c r="C124" s="12" t="str">
        <f t="shared" si="7"/>
        <v>49</v>
      </c>
      <c r="D124" s="27" t="str">
        <f t="shared" si="8"/>
        <v>491</v>
      </c>
      <c r="E124" s="28" t="s">
        <v>139</v>
      </c>
      <c r="F124" s="29">
        <v>0</v>
      </c>
      <c r="G124" s="29">
        <v>0</v>
      </c>
      <c r="H124" s="29">
        <v>0</v>
      </c>
      <c r="I124" s="29">
        <v>20645.96</v>
      </c>
      <c r="J124" s="7" t="str">
        <f t="shared" si="9"/>
        <v xml:space="preserve"> </v>
      </c>
      <c r="K124" s="29">
        <v>20645.96</v>
      </c>
      <c r="L124" s="29">
        <v>0</v>
      </c>
      <c r="M124" s="29">
        <v>20645.96</v>
      </c>
      <c r="N124" s="7">
        <f t="shared" si="10"/>
        <v>1</v>
      </c>
      <c r="O124" s="29">
        <v>0</v>
      </c>
      <c r="P124" s="8">
        <f t="shared" si="11"/>
        <v>20645.96</v>
      </c>
    </row>
    <row r="125" spans="1:16" x14ac:dyDescent="0.2">
      <c r="A125" s="26">
        <v>49117</v>
      </c>
      <c r="B125" s="12" t="str">
        <f t="shared" si="6"/>
        <v>4</v>
      </c>
      <c r="C125" s="12" t="str">
        <f t="shared" si="7"/>
        <v>49</v>
      </c>
      <c r="D125" s="27" t="str">
        <f t="shared" si="8"/>
        <v>491</v>
      </c>
      <c r="E125" s="28" t="s">
        <v>140</v>
      </c>
      <c r="F125" s="29">
        <v>0</v>
      </c>
      <c r="G125" s="29">
        <v>0</v>
      </c>
      <c r="H125" s="29">
        <v>0</v>
      </c>
      <c r="I125" s="29">
        <v>25895.81</v>
      </c>
      <c r="J125" s="7" t="str">
        <f t="shared" si="9"/>
        <v xml:space="preserve"> </v>
      </c>
      <c r="K125" s="29">
        <v>25895.81</v>
      </c>
      <c r="L125" s="29">
        <v>0</v>
      </c>
      <c r="M125" s="29">
        <v>25895.81</v>
      </c>
      <c r="N125" s="7">
        <f t="shared" si="10"/>
        <v>1</v>
      </c>
      <c r="O125" s="29">
        <v>0</v>
      </c>
      <c r="P125" s="8">
        <f t="shared" si="11"/>
        <v>25895.81</v>
      </c>
    </row>
    <row r="126" spans="1:16" x14ac:dyDescent="0.2">
      <c r="A126" s="26">
        <v>49118</v>
      </c>
      <c r="B126" s="12" t="str">
        <f t="shared" si="6"/>
        <v>4</v>
      </c>
      <c r="C126" s="12" t="str">
        <f t="shared" si="7"/>
        <v>49</v>
      </c>
      <c r="D126" s="27" t="str">
        <f t="shared" si="8"/>
        <v>491</v>
      </c>
      <c r="E126" s="28" t="s">
        <v>141</v>
      </c>
      <c r="F126" s="29">
        <v>0</v>
      </c>
      <c r="G126" s="29">
        <v>0</v>
      </c>
      <c r="H126" s="29">
        <v>0</v>
      </c>
      <c r="I126" s="29">
        <v>0</v>
      </c>
      <c r="J126" s="7" t="str">
        <f t="shared" si="9"/>
        <v xml:space="preserve"> </v>
      </c>
      <c r="K126" s="29">
        <v>0</v>
      </c>
      <c r="L126" s="29">
        <v>0</v>
      </c>
      <c r="M126" s="29">
        <v>0</v>
      </c>
      <c r="N126" s="7" t="str">
        <f t="shared" si="10"/>
        <v xml:space="preserve"> </v>
      </c>
      <c r="O126" s="29">
        <v>0</v>
      </c>
      <c r="P126" s="8">
        <f t="shared" si="11"/>
        <v>0</v>
      </c>
    </row>
    <row r="127" spans="1:16" x14ac:dyDescent="0.2">
      <c r="A127" s="26">
        <v>49119</v>
      </c>
      <c r="B127" s="12" t="str">
        <f t="shared" si="6"/>
        <v>4</v>
      </c>
      <c r="C127" s="12" t="str">
        <f t="shared" si="7"/>
        <v>49</v>
      </c>
      <c r="D127" s="27" t="str">
        <f t="shared" si="8"/>
        <v>491</v>
      </c>
      <c r="E127" s="28" t="s">
        <v>142</v>
      </c>
      <c r="F127" s="29">
        <v>0</v>
      </c>
      <c r="G127" s="29">
        <v>0</v>
      </c>
      <c r="H127" s="29">
        <v>0</v>
      </c>
      <c r="I127" s="29">
        <v>0</v>
      </c>
      <c r="J127" s="7" t="str">
        <f t="shared" si="9"/>
        <v xml:space="preserve"> </v>
      </c>
      <c r="K127" s="29">
        <v>0</v>
      </c>
      <c r="L127" s="29">
        <v>0</v>
      </c>
      <c r="M127" s="29">
        <v>0</v>
      </c>
      <c r="N127" s="7" t="str">
        <f t="shared" si="10"/>
        <v xml:space="preserve"> </v>
      </c>
      <c r="O127" s="29">
        <v>0</v>
      </c>
      <c r="P127" s="8">
        <f t="shared" si="11"/>
        <v>0</v>
      </c>
    </row>
    <row r="128" spans="1:16" x14ac:dyDescent="0.2">
      <c r="A128" s="26">
        <v>49703</v>
      </c>
      <c r="B128" s="12" t="str">
        <f t="shared" si="6"/>
        <v>4</v>
      </c>
      <c r="C128" s="12" t="str">
        <f t="shared" si="7"/>
        <v>49</v>
      </c>
      <c r="D128" s="27" t="str">
        <f t="shared" si="8"/>
        <v>497</v>
      </c>
      <c r="E128" s="28" t="s">
        <v>143</v>
      </c>
      <c r="F128" s="29">
        <v>0</v>
      </c>
      <c r="G128" s="29">
        <v>0</v>
      </c>
      <c r="H128" s="29">
        <v>0</v>
      </c>
      <c r="I128" s="29">
        <v>0</v>
      </c>
      <c r="J128" s="7" t="str">
        <f t="shared" si="9"/>
        <v xml:space="preserve"> </v>
      </c>
      <c r="K128" s="29">
        <v>0</v>
      </c>
      <c r="L128" s="29">
        <v>0</v>
      </c>
      <c r="M128" s="29">
        <v>0</v>
      </c>
      <c r="N128" s="7" t="str">
        <f t="shared" si="10"/>
        <v xml:space="preserve"> </v>
      </c>
      <c r="O128" s="29">
        <v>0</v>
      </c>
      <c r="P128" s="8">
        <f t="shared" si="11"/>
        <v>0</v>
      </c>
    </row>
    <row r="129" spans="1:16" x14ac:dyDescent="0.2">
      <c r="A129" s="26">
        <v>49705</v>
      </c>
      <c r="B129" s="12" t="str">
        <f t="shared" si="6"/>
        <v>4</v>
      </c>
      <c r="C129" s="12" t="str">
        <f t="shared" si="7"/>
        <v>49</v>
      </c>
      <c r="D129" s="27" t="str">
        <f t="shared" si="8"/>
        <v>497</v>
      </c>
      <c r="E129" s="28" t="s">
        <v>144</v>
      </c>
      <c r="F129" s="29">
        <v>34000</v>
      </c>
      <c r="G129" s="29">
        <v>0</v>
      </c>
      <c r="H129" s="29">
        <v>34000</v>
      </c>
      <c r="I129" s="29">
        <v>1202.53</v>
      </c>
      <c r="J129" s="7">
        <f t="shared" ref="J129:J133" si="12">IF(H129=0," ",I129/H129)</f>
        <v>3.5368529411764708E-2</v>
      </c>
      <c r="K129" s="29">
        <v>1202.53</v>
      </c>
      <c r="L129" s="29">
        <v>0</v>
      </c>
      <c r="M129" s="29">
        <v>1202.53</v>
      </c>
      <c r="N129" s="7">
        <f t="shared" ref="N129:N133" si="13">IF(I129=0," ",M129/I129)</f>
        <v>1</v>
      </c>
      <c r="O129" s="29">
        <v>0</v>
      </c>
      <c r="P129" s="8">
        <f t="shared" ref="P129:P133" si="14">I129-H129</f>
        <v>-32797.47</v>
      </c>
    </row>
    <row r="130" spans="1:16" x14ac:dyDescent="0.2">
      <c r="A130" s="26">
        <v>49710</v>
      </c>
      <c r="B130" s="12" t="str">
        <f t="shared" si="6"/>
        <v>4</v>
      </c>
      <c r="C130" s="12" t="str">
        <f t="shared" si="7"/>
        <v>49</v>
      </c>
      <c r="D130" s="27" t="str">
        <f t="shared" si="8"/>
        <v>497</v>
      </c>
      <c r="E130" s="28" t="s">
        <v>145</v>
      </c>
      <c r="F130" s="29">
        <v>0</v>
      </c>
      <c r="G130" s="29">
        <v>0</v>
      </c>
      <c r="H130" s="29">
        <v>0</v>
      </c>
      <c r="I130" s="29">
        <v>0</v>
      </c>
      <c r="J130" s="7" t="str">
        <f t="shared" si="12"/>
        <v xml:space="preserve"> </v>
      </c>
      <c r="K130" s="29">
        <v>0</v>
      </c>
      <c r="L130" s="29">
        <v>0</v>
      </c>
      <c r="M130" s="29">
        <v>0</v>
      </c>
      <c r="N130" s="7" t="str">
        <f t="shared" si="13"/>
        <v xml:space="preserve"> </v>
      </c>
      <c r="O130" s="29">
        <v>0</v>
      </c>
      <c r="P130" s="8">
        <f t="shared" si="14"/>
        <v>0</v>
      </c>
    </row>
    <row r="131" spans="1:16" x14ac:dyDescent="0.2">
      <c r="A131" s="26">
        <v>49711</v>
      </c>
      <c r="B131" s="12" t="str">
        <f t="shared" si="6"/>
        <v>4</v>
      </c>
      <c r="C131" s="12" t="str">
        <f t="shared" si="7"/>
        <v>49</v>
      </c>
      <c r="D131" s="27" t="str">
        <f t="shared" si="8"/>
        <v>497</v>
      </c>
      <c r="E131" s="28" t="s">
        <v>146</v>
      </c>
      <c r="F131" s="29">
        <v>19313</v>
      </c>
      <c r="G131" s="29">
        <v>0</v>
      </c>
      <c r="H131" s="29">
        <v>19313</v>
      </c>
      <c r="I131" s="29">
        <v>0</v>
      </c>
      <c r="J131" s="7">
        <f t="shared" si="12"/>
        <v>0</v>
      </c>
      <c r="K131" s="29">
        <v>0</v>
      </c>
      <c r="L131" s="29">
        <v>0</v>
      </c>
      <c r="M131" s="29">
        <v>0</v>
      </c>
      <c r="N131" s="7" t="str">
        <f t="shared" si="13"/>
        <v xml:space="preserve"> </v>
      </c>
      <c r="O131" s="29">
        <v>0</v>
      </c>
      <c r="P131" s="8">
        <f t="shared" si="14"/>
        <v>-19313</v>
      </c>
    </row>
    <row r="132" spans="1:16" x14ac:dyDescent="0.2">
      <c r="A132" s="26">
        <v>49712</v>
      </c>
      <c r="B132" s="12" t="str">
        <f t="shared" si="6"/>
        <v>4</v>
      </c>
      <c r="C132" s="12" t="str">
        <f t="shared" si="7"/>
        <v>49</v>
      </c>
      <c r="D132" s="27" t="str">
        <f t="shared" si="8"/>
        <v>497</v>
      </c>
      <c r="E132" s="28" t="s">
        <v>147</v>
      </c>
      <c r="F132" s="29">
        <v>95938</v>
      </c>
      <c r="G132" s="29">
        <v>0</v>
      </c>
      <c r="H132" s="29">
        <v>95938</v>
      </c>
      <c r="I132" s="29">
        <v>0</v>
      </c>
      <c r="J132" s="7">
        <f t="shared" si="12"/>
        <v>0</v>
      </c>
      <c r="K132" s="29">
        <v>0</v>
      </c>
      <c r="L132" s="29">
        <v>0</v>
      </c>
      <c r="M132" s="29">
        <v>0</v>
      </c>
      <c r="N132" s="7" t="str">
        <f t="shared" si="13"/>
        <v xml:space="preserve"> </v>
      </c>
      <c r="O132" s="29">
        <v>0</v>
      </c>
      <c r="P132" s="8">
        <f t="shared" si="14"/>
        <v>-95938</v>
      </c>
    </row>
    <row r="133" spans="1:16" x14ac:dyDescent="0.2">
      <c r="A133" s="26">
        <v>49713</v>
      </c>
      <c r="B133" s="12" t="str">
        <f t="shared" ref="B133" si="15">LEFT(A133,1)</f>
        <v>4</v>
      </c>
      <c r="C133" s="12" t="str">
        <f t="shared" ref="C133" si="16">LEFT(A133,2)</f>
        <v>49</v>
      </c>
      <c r="D133" s="27" t="str">
        <f t="shared" ref="D133" si="17">LEFT(A133,3)</f>
        <v>497</v>
      </c>
      <c r="E133" s="28" t="s">
        <v>148</v>
      </c>
      <c r="F133" s="29">
        <v>52815</v>
      </c>
      <c r="G133" s="29">
        <v>0</v>
      </c>
      <c r="H133" s="29">
        <v>52815</v>
      </c>
      <c r="I133" s="29">
        <v>0</v>
      </c>
      <c r="J133" s="7">
        <f t="shared" si="12"/>
        <v>0</v>
      </c>
      <c r="K133" s="29">
        <v>0</v>
      </c>
      <c r="L133" s="29">
        <v>0</v>
      </c>
      <c r="M133" s="29">
        <v>0</v>
      </c>
      <c r="N133" s="7" t="str">
        <f t="shared" si="13"/>
        <v xml:space="preserve"> </v>
      </c>
      <c r="O133" s="29">
        <v>0</v>
      </c>
      <c r="P133" s="8">
        <f t="shared" si="14"/>
        <v>-52815</v>
      </c>
    </row>
    <row r="134" spans="1:16" x14ac:dyDescent="0.2">
      <c r="A134" s="26">
        <v>49715</v>
      </c>
      <c r="B134" s="12" t="str">
        <f t="shared" ref="B134:B145" si="18">LEFT(A134,1)</f>
        <v>4</v>
      </c>
      <c r="C134" s="12" t="str">
        <f t="shared" ref="C134:C145" si="19">LEFT(A134,2)</f>
        <v>49</v>
      </c>
      <c r="D134" s="27" t="str">
        <f t="shared" ref="D134:D145" si="20">LEFT(A134,3)</f>
        <v>497</v>
      </c>
      <c r="E134" s="28" t="s">
        <v>149</v>
      </c>
      <c r="F134" s="29">
        <v>0</v>
      </c>
      <c r="G134" s="29">
        <v>0</v>
      </c>
      <c r="H134" s="29">
        <v>0</v>
      </c>
      <c r="I134" s="29">
        <v>0</v>
      </c>
      <c r="J134" s="7" t="str">
        <f t="shared" ref="J134:J145" si="21">IF(H134=0," ",I134/H134)</f>
        <v xml:space="preserve"> </v>
      </c>
      <c r="K134" s="29">
        <v>0</v>
      </c>
      <c r="L134" s="29">
        <v>0</v>
      </c>
      <c r="M134" s="29">
        <v>0</v>
      </c>
      <c r="N134" s="7" t="str">
        <f t="shared" ref="N134:N145" si="22">IF(I134=0," ",M134/I134)</f>
        <v xml:space="preserve"> </v>
      </c>
      <c r="O134" s="29">
        <v>0</v>
      </c>
      <c r="P134" s="8">
        <f t="shared" ref="P134:P145" si="23">I134-H134</f>
        <v>0</v>
      </c>
    </row>
    <row r="135" spans="1:16" x14ac:dyDescent="0.2">
      <c r="A135" s="26">
        <v>49716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150</v>
      </c>
      <c r="F135" s="29">
        <v>27442</v>
      </c>
      <c r="G135" s="29">
        <v>0</v>
      </c>
      <c r="H135" s="29">
        <v>27442</v>
      </c>
      <c r="I135" s="29">
        <v>27442.38</v>
      </c>
      <c r="J135" s="7">
        <f t="shared" si="21"/>
        <v>1.0000138473872167</v>
      </c>
      <c r="K135" s="29">
        <v>27442.38</v>
      </c>
      <c r="L135" s="29">
        <v>0</v>
      </c>
      <c r="M135" s="29">
        <v>27442.38</v>
      </c>
      <c r="N135" s="7">
        <f t="shared" si="22"/>
        <v>1</v>
      </c>
      <c r="O135" s="29">
        <v>0</v>
      </c>
      <c r="P135" s="8">
        <f t="shared" si="23"/>
        <v>0.38000000000101863</v>
      </c>
    </row>
    <row r="136" spans="1:16" x14ac:dyDescent="0.2">
      <c r="A136" s="26">
        <v>49717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151</v>
      </c>
      <c r="F136" s="29">
        <v>75818</v>
      </c>
      <c r="G136" s="29">
        <v>0</v>
      </c>
      <c r="H136" s="29">
        <v>75818</v>
      </c>
      <c r="I136" s="29">
        <v>0</v>
      </c>
      <c r="J136" s="7">
        <f t="shared" si="21"/>
        <v>0</v>
      </c>
      <c r="K136" s="29">
        <v>0</v>
      </c>
      <c r="L136" s="29">
        <v>0</v>
      </c>
      <c r="M136" s="29">
        <v>0</v>
      </c>
      <c r="N136" s="7" t="str">
        <f t="shared" si="22"/>
        <v xml:space="preserve"> </v>
      </c>
      <c r="O136" s="29">
        <v>0</v>
      </c>
      <c r="P136" s="8">
        <f t="shared" si="23"/>
        <v>-75818</v>
      </c>
    </row>
    <row r="137" spans="1:16" x14ac:dyDescent="0.2">
      <c r="A137" s="26">
        <v>49718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152</v>
      </c>
      <c r="F137" s="29">
        <v>61000</v>
      </c>
      <c r="G137" s="29">
        <v>0</v>
      </c>
      <c r="H137" s="29">
        <v>61000</v>
      </c>
      <c r="I137" s="29">
        <v>0</v>
      </c>
      <c r="J137" s="7">
        <f t="shared" si="21"/>
        <v>0</v>
      </c>
      <c r="K137" s="29">
        <v>0</v>
      </c>
      <c r="L137" s="29">
        <v>0</v>
      </c>
      <c r="M137" s="29">
        <v>0</v>
      </c>
      <c r="N137" s="7" t="str">
        <f t="shared" si="22"/>
        <v xml:space="preserve"> </v>
      </c>
      <c r="O137" s="29">
        <v>0</v>
      </c>
      <c r="P137" s="8">
        <f t="shared" si="23"/>
        <v>-61000</v>
      </c>
    </row>
    <row r="138" spans="1:16" x14ac:dyDescent="0.2">
      <c r="A138" s="26">
        <v>49719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153</v>
      </c>
      <c r="F138" s="29">
        <v>52500</v>
      </c>
      <c r="G138" s="29">
        <v>0</v>
      </c>
      <c r="H138" s="29">
        <v>52500</v>
      </c>
      <c r="I138" s="29">
        <v>0</v>
      </c>
      <c r="J138" s="7">
        <f t="shared" si="21"/>
        <v>0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-52500</v>
      </c>
    </row>
    <row r="139" spans="1:16" x14ac:dyDescent="0.2">
      <c r="A139" s="26">
        <v>52000</v>
      </c>
      <c r="B139" s="12" t="str">
        <f t="shared" si="18"/>
        <v>5</v>
      </c>
      <c r="C139" s="12" t="str">
        <f t="shared" si="19"/>
        <v>52</v>
      </c>
      <c r="D139" s="27" t="str">
        <f t="shared" si="20"/>
        <v>520</v>
      </c>
      <c r="E139" s="28" t="s">
        <v>154</v>
      </c>
      <c r="F139" s="29">
        <v>1700000</v>
      </c>
      <c r="G139" s="29">
        <v>0</v>
      </c>
      <c r="H139" s="29">
        <v>1700000</v>
      </c>
      <c r="I139" s="29">
        <v>1610920.44</v>
      </c>
      <c r="J139" s="7">
        <f t="shared" si="21"/>
        <v>0.94760025882352938</v>
      </c>
      <c r="K139" s="29">
        <v>1610920.44</v>
      </c>
      <c r="L139" s="29">
        <v>0</v>
      </c>
      <c r="M139" s="29">
        <v>1610920.44</v>
      </c>
      <c r="N139" s="7">
        <f t="shared" si="22"/>
        <v>1</v>
      </c>
      <c r="O139" s="29">
        <v>0</v>
      </c>
      <c r="P139" s="8">
        <f t="shared" si="23"/>
        <v>-89079.560000000056</v>
      </c>
    </row>
    <row r="140" spans="1:16" x14ac:dyDescent="0.2">
      <c r="A140" s="26">
        <v>53400</v>
      </c>
      <c r="B140" s="12" t="str">
        <f t="shared" si="18"/>
        <v>5</v>
      </c>
      <c r="C140" s="12" t="str">
        <f t="shared" si="19"/>
        <v>53</v>
      </c>
      <c r="D140" s="27" t="str">
        <f t="shared" si="20"/>
        <v>534</v>
      </c>
      <c r="E140" s="28" t="s">
        <v>155</v>
      </c>
      <c r="F140" s="29">
        <v>1030000</v>
      </c>
      <c r="G140" s="29">
        <v>0</v>
      </c>
      <c r="H140" s="29">
        <v>1030000</v>
      </c>
      <c r="I140" s="29">
        <v>270236.3</v>
      </c>
      <c r="J140" s="7">
        <f t="shared" si="21"/>
        <v>0.26236533980582522</v>
      </c>
      <c r="K140" s="29">
        <v>270236.3</v>
      </c>
      <c r="L140" s="29">
        <v>0</v>
      </c>
      <c r="M140" s="29">
        <v>270236.3</v>
      </c>
      <c r="N140" s="7">
        <f t="shared" si="22"/>
        <v>1</v>
      </c>
      <c r="O140" s="29">
        <v>0</v>
      </c>
      <c r="P140" s="8">
        <f t="shared" si="23"/>
        <v>-759763.7</v>
      </c>
    </row>
    <row r="141" spans="1:16" x14ac:dyDescent="0.2">
      <c r="A141" s="26">
        <v>54100</v>
      </c>
      <c r="B141" s="12" t="str">
        <f t="shared" si="18"/>
        <v>5</v>
      </c>
      <c r="C141" s="12" t="str">
        <f t="shared" si="19"/>
        <v>54</v>
      </c>
      <c r="D141" s="27" t="str">
        <f t="shared" si="20"/>
        <v>541</v>
      </c>
      <c r="E141" s="28" t="s">
        <v>156</v>
      </c>
      <c r="F141" s="29">
        <v>25000</v>
      </c>
      <c r="G141" s="29">
        <v>0</v>
      </c>
      <c r="H141" s="29">
        <v>25000</v>
      </c>
      <c r="I141" s="29">
        <v>18695.46</v>
      </c>
      <c r="J141" s="7">
        <f t="shared" si="21"/>
        <v>0.74781839999999999</v>
      </c>
      <c r="K141" s="29">
        <v>18695.46</v>
      </c>
      <c r="L141" s="29">
        <v>0</v>
      </c>
      <c r="M141" s="29">
        <v>18695.46</v>
      </c>
      <c r="N141" s="7">
        <f t="shared" si="22"/>
        <v>1</v>
      </c>
      <c r="O141" s="29">
        <v>0</v>
      </c>
      <c r="P141" s="8">
        <f t="shared" si="23"/>
        <v>-6304.5400000000009</v>
      </c>
    </row>
    <row r="142" spans="1:16" x14ac:dyDescent="0.2">
      <c r="A142" s="26">
        <v>54101</v>
      </c>
      <c r="B142" s="12" t="str">
        <f t="shared" si="18"/>
        <v>5</v>
      </c>
      <c r="C142" s="12" t="str">
        <f t="shared" si="19"/>
        <v>54</v>
      </c>
      <c r="D142" s="27" t="str">
        <f t="shared" si="20"/>
        <v>541</v>
      </c>
      <c r="E142" s="28" t="s">
        <v>157</v>
      </c>
      <c r="F142" s="29">
        <v>25000</v>
      </c>
      <c r="G142" s="29">
        <v>0</v>
      </c>
      <c r="H142" s="29">
        <v>25000</v>
      </c>
      <c r="I142" s="29">
        <v>8616.4500000000007</v>
      </c>
      <c r="J142" s="7">
        <f t="shared" si="21"/>
        <v>0.34465800000000002</v>
      </c>
      <c r="K142" s="29">
        <v>8616.4500000000007</v>
      </c>
      <c r="L142" s="29">
        <v>0</v>
      </c>
      <c r="M142" s="29">
        <v>8616.4500000000007</v>
      </c>
      <c r="N142" s="7">
        <f t="shared" si="22"/>
        <v>1</v>
      </c>
      <c r="O142" s="29">
        <v>0</v>
      </c>
      <c r="P142" s="8">
        <f t="shared" si="23"/>
        <v>-16383.55</v>
      </c>
    </row>
    <row r="143" spans="1:16" x14ac:dyDescent="0.2">
      <c r="A143" s="26">
        <v>55000</v>
      </c>
      <c r="B143" s="12" t="str">
        <f t="shared" si="18"/>
        <v>5</v>
      </c>
      <c r="C143" s="12" t="str">
        <f t="shared" si="19"/>
        <v>55</v>
      </c>
      <c r="D143" s="27" t="str">
        <f t="shared" si="20"/>
        <v>550</v>
      </c>
      <c r="E143" s="28" t="s">
        <v>158</v>
      </c>
      <c r="F143" s="29">
        <v>1500000</v>
      </c>
      <c r="G143" s="29">
        <v>0</v>
      </c>
      <c r="H143" s="29">
        <v>1500000</v>
      </c>
      <c r="I143" s="29">
        <v>1233294.67</v>
      </c>
      <c r="J143" s="7">
        <f t="shared" si="21"/>
        <v>0.82219644666666658</v>
      </c>
      <c r="K143" s="29">
        <v>1033098.02</v>
      </c>
      <c r="L143" s="29">
        <v>41438.35</v>
      </c>
      <c r="M143" s="29">
        <v>991659.67</v>
      </c>
      <c r="N143" s="7">
        <f t="shared" si="22"/>
        <v>0.80407358770146964</v>
      </c>
      <c r="O143" s="29">
        <v>241635</v>
      </c>
      <c r="P143" s="8">
        <f t="shared" si="23"/>
        <v>-266705.33000000007</v>
      </c>
    </row>
    <row r="144" spans="1:16" x14ac:dyDescent="0.2">
      <c r="A144" s="26">
        <v>55400</v>
      </c>
      <c r="B144" s="12" t="str">
        <f t="shared" si="18"/>
        <v>5</v>
      </c>
      <c r="C144" s="12" t="str">
        <f t="shared" si="19"/>
        <v>55</v>
      </c>
      <c r="D144" s="27" t="str">
        <f t="shared" si="20"/>
        <v>554</v>
      </c>
      <c r="E144" s="28" t="s">
        <v>159</v>
      </c>
      <c r="F144" s="29">
        <v>85000</v>
      </c>
      <c r="G144" s="29">
        <v>0</v>
      </c>
      <c r="H144" s="29">
        <v>85000</v>
      </c>
      <c r="I144" s="29">
        <v>22491</v>
      </c>
      <c r="J144" s="7">
        <f t="shared" si="21"/>
        <v>0.2646</v>
      </c>
      <c r="K144" s="29">
        <v>22491</v>
      </c>
      <c r="L144" s="29">
        <v>0</v>
      </c>
      <c r="M144" s="29">
        <v>22491</v>
      </c>
      <c r="N144" s="7">
        <f t="shared" si="22"/>
        <v>1</v>
      </c>
      <c r="O144" s="29">
        <v>0</v>
      </c>
      <c r="P144" s="8">
        <f t="shared" si="23"/>
        <v>-62509</v>
      </c>
    </row>
    <row r="145" spans="1:16" x14ac:dyDescent="0.2">
      <c r="A145" s="26">
        <v>55900</v>
      </c>
      <c r="B145" s="12" t="str">
        <f t="shared" si="18"/>
        <v>5</v>
      </c>
      <c r="C145" s="12" t="str">
        <f t="shared" si="19"/>
        <v>55</v>
      </c>
      <c r="D145" s="27" t="str">
        <f t="shared" si="20"/>
        <v>559</v>
      </c>
      <c r="E145" s="28" t="s">
        <v>160</v>
      </c>
      <c r="F145" s="29">
        <v>0</v>
      </c>
      <c r="G145" s="29">
        <v>0</v>
      </c>
      <c r="H145" s="29">
        <v>0</v>
      </c>
      <c r="I145" s="29">
        <v>8835.7000000000007</v>
      </c>
      <c r="J145" s="7" t="str">
        <f t="shared" si="21"/>
        <v xml:space="preserve"> </v>
      </c>
      <c r="K145" s="29">
        <v>8835.7000000000007</v>
      </c>
      <c r="L145" s="29">
        <v>0</v>
      </c>
      <c r="M145" s="29">
        <v>8835.7000000000007</v>
      </c>
      <c r="N145" s="7">
        <f t="shared" si="22"/>
        <v>1</v>
      </c>
      <c r="O145" s="29">
        <v>0</v>
      </c>
      <c r="P145" s="8">
        <f t="shared" si="23"/>
        <v>8835.7000000000007</v>
      </c>
    </row>
    <row r="146" spans="1:16" x14ac:dyDescent="0.2">
      <c r="A146" s="26">
        <v>59901</v>
      </c>
      <c r="B146" s="12" t="str">
        <f>LEFT(A146,1)</f>
        <v>5</v>
      </c>
      <c r="C146" s="12" t="str">
        <f>LEFT(A146,2)</f>
        <v>59</v>
      </c>
      <c r="D146" s="27" t="str">
        <f>LEFT(A146,3)</f>
        <v>599</v>
      </c>
      <c r="E146" s="28" t="s">
        <v>161</v>
      </c>
      <c r="F146" s="29">
        <v>280000</v>
      </c>
      <c r="G146" s="29">
        <v>0</v>
      </c>
      <c r="H146" s="29">
        <v>280000</v>
      </c>
      <c r="I146" s="29">
        <v>276862.5</v>
      </c>
      <c r="J146" s="7">
        <f>IF(H146=0," ",I146/H146)</f>
        <v>0.9887946428571428</v>
      </c>
      <c r="K146" s="29">
        <v>138431.25</v>
      </c>
      <c r="L146" s="29">
        <v>0</v>
      </c>
      <c r="M146" s="29">
        <v>138431.25</v>
      </c>
      <c r="N146" s="7">
        <f>IF(I146=0," ",M146/I146)</f>
        <v>0.5</v>
      </c>
      <c r="O146" s="29">
        <v>138431.25</v>
      </c>
      <c r="P146" s="8">
        <f>I146-H146</f>
        <v>-3137.5</v>
      </c>
    </row>
    <row r="147" spans="1:16" x14ac:dyDescent="0.2">
      <c r="A147" s="30"/>
      <c r="B147" s="31"/>
      <c r="C147" s="31"/>
      <c r="D147" s="30"/>
      <c r="E147" s="35" t="s">
        <v>19</v>
      </c>
      <c r="F147" s="32">
        <f>SUBTOTAL(109,Tabla1[Previsiones Iniciales])</f>
        <v>319923101</v>
      </c>
      <c r="G147" s="32">
        <f>SUBTOTAL(109,Tabla1[Modificaciones])</f>
        <v>3441587.59</v>
      </c>
      <c r="H147" s="32">
        <f>SUBTOTAL(109,Tabla1[Previsiones Definitivas])</f>
        <v>323364688.58999997</v>
      </c>
      <c r="I147" s="32">
        <f>SUBTOTAL(109,Tabla1[Derechos Netos])</f>
        <v>207596266.66999996</v>
      </c>
      <c r="J147" s="33">
        <f>IF(H147=0," ",I147/H147)</f>
        <v>0.64198805248403323</v>
      </c>
      <c r="K147" s="32">
        <f>SUBTOTAL(109,Tabla1[Ingresos Realizados])</f>
        <v>111884846.78</v>
      </c>
      <c r="L147" s="32">
        <f>SUBTOTAL(109,Tabla1[Devoluciones de Ingresos])</f>
        <v>5816791.4199999999</v>
      </c>
      <c r="M147" s="32">
        <f>SUBTOTAL(109,Tabla1[Recaudación Líquida])</f>
        <v>106068055.36</v>
      </c>
      <c r="N147" s="33">
        <f>IF(I147=0," ",M147/I147)</f>
        <v>0.51093431043540072</v>
      </c>
      <c r="O147" s="32">
        <f>SUBTOTAL(109,Tabla1[Pendiente de Cobro])</f>
        <v>101528211.31</v>
      </c>
      <c r="P147" s="34">
        <f>SUBTOTAL(109,Tabla1[Estado de Ejecución])</f>
        <v>-115768421.92</v>
      </c>
    </row>
    <row r="148" spans="1:16" x14ac:dyDescent="0.2">
      <c r="A148" s="30"/>
      <c r="B148" s="31"/>
      <c r="C148" s="31"/>
      <c r="D148" s="30"/>
      <c r="E148" s="37"/>
      <c r="F148" s="38"/>
      <c r="G148" s="38"/>
      <c r="H148" s="38"/>
      <c r="I148" s="38"/>
      <c r="J148" s="39"/>
      <c r="K148" s="38"/>
      <c r="L148" s="38"/>
      <c r="M148" s="38"/>
      <c r="N148" s="39"/>
      <c r="O148" s="38"/>
      <c r="P148" s="40"/>
    </row>
    <row r="149" spans="1:16" ht="25.5" x14ac:dyDescent="0.2">
      <c r="A149" s="3" t="s">
        <v>2</v>
      </c>
      <c r="B149" s="3" t="s">
        <v>16</v>
      </c>
      <c r="C149" s="3" t="s">
        <v>17</v>
      </c>
      <c r="D149" s="3" t="s">
        <v>18</v>
      </c>
      <c r="E149" s="4" t="s">
        <v>3</v>
      </c>
      <c r="F149" s="4" t="s">
        <v>4</v>
      </c>
      <c r="G149" s="3" t="s">
        <v>5</v>
      </c>
      <c r="H149" s="4" t="s">
        <v>6</v>
      </c>
      <c r="I149" s="4" t="s">
        <v>7</v>
      </c>
      <c r="J149" s="4" t="s">
        <v>8</v>
      </c>
      <c r="K149" s="4" t="s">
        <v>9</v>
      </c>
      <c r="L149" s="4" t="s">
        <v>10</v>
      </c>
      <c r="M149" s="4" t="s">
        <v>11</v>
      </c>
      <c r="N149" s="6" t="s">
        <v>12</v>
      </c>
      <c r="O149" s="4" t="s">
        <v>13</v>
      </c>
      <c r="P149" s="4" t="s">
        <v>14</v>
      </c>
    </row>
    <row r="150" spans="1:16" x14ac:dyDescent="0.2">
      <c r="A150" s="26">
        <v>60301</v>
      </c>
      <c r="B150" s="12" t="str">
        <f t="shared" ref="B150:B169" si="24">LEFT(A150,1)</f>
        <v>6</v>
      </c>
      <c r="C150" s="12" t="str">
        <f t="shared" ref="C150:C169" si="25">LEFT(A150,2)</f>
        <v>60</v>
      </c>
      <c r="D150" s="27" t="str">
        <f t="shared" ref="D150:D169" si="26">LEFT(A150,3)</f>
        <v>603</v>
      </c>
      <c r="E150" s="28" t="s">
        <v>162</v>
      </c>
      <c r="F150" s="29">
        <v>10415275</v>
      </c>
      <c r="G150" s="29">
        <v>0</v>
      </c>
      <c r="H150" s="29">
        <v>10415275</v>
      </c>
      <c r="I150" s="29">
        <v>2635301.7799999998</v>
      </c>
      <c r="J150" s="7">
        <f t="shared" ref="J150:J169" si="27">IF(H150=0," ",I150/H150)</f>
        <v>0.25302277472270296</v>
      </c>
      <c r="K150" s="29">
        <v>2635301.7799999998</v>
      </c>
      <c r="L150" s="29">
        <v>0</v>
      </c>
      <c r="M150" s="29">
        <v>2635301.7799999998</v>
      </c>
      <c r="N150" s="7">
        <f t="shared" ref="N150:N170" si="28">IF(I150=0," ",M150/I150)</f>
        <v>1</v>
      </c>
      <c r="O150" s="29">
        <v>0</v>
      </c>
      <c r="P150" s="8">
        <f t="shared" ref="P150:P169" si="29">I150-H150</f>
        <v>-7779973.2200000007</v>
      </c>
    </row>
    <row r="151" spans="1:16" x14ac:dyDescent="0.2">
      <c r="A151" s="26">
        <v>68000</v>
      </c>
      <c r="B151" s="12" t="str">
        <f t="shared" si="24"/>
        <v>6</v>
      </c>
      <c r="C151" s="12" t="str">
        <f t="shared" si="25"/>
        <v>68</v>
      </c>
      <c r="D151" s="27" t="str">
        <f t="shared" si="26"/>
        <v>680</v>
      </c>
      <c r="E151" s="28" t="s">
        <v>163</v>
      </c>
      <c r="F151" s="29">
        <v>0</v>
      </c>
      <c r="G151" s="29">
        <v>1050567.1000000001</v>
      </c>
      <c r="H151" s="29">
        <v>1050567.1000000001</v>
      </c>
      <c r="I151" s="29">
        <v>1416071.81</v>
      </c>
      <c r="J151" s="7">
        <f t="shared" si="27"/>
        <v>1.3479118182931866</v>
      </c>
      <c r="K151" s="29">
        <v>1045645.33</v>
      </c>
      <c r="L151" s="29">
        <v>0</v>
      </c>
      <c r="M151" s="29">
        <v>1045645.33</v>
      </c>
      <c r="N151" s="7">
        <f t="shared" si="28"/>
        <v>0.73841264448305055</v>
      </c>
      <c r="O151" s="29">
        <v>370426.48</v>
      </c>
      <c r="P151" s="8">
        <f t="shared" si="29"/>
        <v>365504.70999999996</v>
      </c>
    </row>
    <row r="152" spans="1:16" x14ac:dyDescent="0.2">
      <c r="A152" s="26">
        <v>68001</v>
      </c>
      <c r="B152" s="12" t="str">
        <f t="shared" si="24"/>
        <v>6</v>
      </c>
      <c r="C152" s="12" t="str">
        <f t="shared" si="25"/>
        <v>68</v>
      </c>
      <c r="D152" s="27" t="str">
        <f t="shared" si="26"/>
        <v>680</v>
      </c>
      <c r="E152" s="28" t="s">
        <v>164</v>
      </c>
      <c r="F152" s="29">
        <v>0</v>
      </c>
      <c r="G152" s="29">
        <v>0</v>
      </c>
      <c r="H152" s="29">
        <v>0</v>
      </c>
      <c r="I152" s="29">
        <v>27.37</v>
      </c>
      <c r="J152" s="7" t="str">
        <f t="shared" si="27"/>
        <v xml:space="preserve"> </v>
      </c>
      <c r="K152" s="29">
        <v>27.37</v>
      </c>
      <c r="L152" s="29">
        <v>0</v>
      </c>
      <c r="M152" s="29">
        <v>27.37</v>
      </c>
      <c r="N152" s="7">
        <f t="shared" si="28"/>
        <v>1</v>
      </c>
      <c r="O152" s="29">
        <v>0</v>
      </c>
      <c r="P152" s="8">
        <f t="shared" si="29"/>
        <v>27.37</v>
      </c>
    </row>
    <row r="153" spans="1:16" x14ac:dyDescent="0.2">
      <c r="A153" s="26">
        <v>72001</v>
      </c>
      <c r="B153" s="12" t="str">
        <f t="shared" si="24"/>
        <v>7</v>
      </c>
      <c r="C153" s="12" t="str">
        <f t="shared" si="25"/>
        <v>72</v>
      </c>
      <c r="D153" s="27" t="str">
        <f t="shared" si="26"/>
        <v>720</v>
      </c>
      <c r="E153" s="28" t="s">
        <v>165</v>
      </c>
      <c r="F153" s="29">
        <v>1180388</v>
      </c>
      <c r="G153" s="29">
        <v>0</v>
      </c>
      <c r="H153" s="29">
        <v>1180388</v>
      </c>
      <c r="I153" s="29">
        <v>1414834.55</v>
      </c>
      <c r="J153" s="7">
        <f t="shared" si="27"/>
        <v>1.1986182085890402</v>
      </c>
      <c r="K153" s="29">
        <v>1414834.55</v>
      </c>
      <c r="L153" s="29">
        <v>0</v>
      </c>
      <c r="M153" s="29">
        <v>1414834.55</v>
      </c>
      <c r="N153" s="7">
        <f t="shared" si="28"/>
        <v>1</v>
      </c>
      <c r="O153" s="29">
        <v>0</v>
      </c>
      <c r="P153" s="8">
        <f t="shared" si="29"/>
        <v>234446.55000000005</v>
      </c>
    </row>
    <row r="154" spans="1:16" x14ac:dyDescent="0.2">
      <c r="A154" s="26">
        <v>72002</v>
      </c>
      <c r="B154" s="12" t="str">
        <f t="shared" si="24"/>
        <v>7</v>
      </c>
      <c r="C154" s="12" t="str">
        <f t="shared" si="25"/>
        <v>72</v>
      </c>
      <c r="D154" s="27" t="str">
        <f t="shared" si="26"/>
        <v>720</v>
      </c>
      <c r="E154" s="28" t="s">
        <v>166</v>
      </c>
      <c r="F154" s="29">
        <v>0</v>
      </c>
      <c r="G154" s="29">
        <v>0</v>
      </c>
      <c r="H154" s="29">
        <v>0</v>
      </c>
      <c r="I154" s="29">
        <v>0</v>
      </c>
      <c r="J154" s="7" t="str">
        <f t="shared" si="27"/>
        <v xml:space="preserve"> </v>
      </c>
      <c r="K154" s="29">
        <v>0</v>
      </c>
      <c r="L154" s="29">
        <v>0</v>
      </c>
      <c r="M154" s="29">
        <v>0</v>
      </c>
      <c r="N154" s="7" t="str">
        <f t="shared" si="28"/>
        <v xml:space="preserve"> </v>
      </c>
      <c r="O154" s="29">
        <v>0</v>
      </c>
      <c r="P154" s="8">
        <f t="shared" si="29"/>
        <v>0</v>
      </c>
    </row>
    <row r="155" spans="1:16" x14ac:dyDescent="0.2">
      <c r="A155" s="26">
        <v>72003</v>
      </c>
      <c r="B155" s="12" t="str">
        <f t="shared" si="24"/>
        <v>7</v>
      </c>
      <c r="C155" s="12" t="str">
        <f t="shared" si="25"/>
        <v>72</v>
      </c>
      <c r="D155" s="27" t="str">
        <f t="shared" si="26"/>
        <v>720</v>
      </c>
      <c r="E155" s="28" t="s">
        <v>167</v>
      </c>
      <c r="F155" s="29">
        <v>8594421</v>
      </c>
      <c r="G155" s="29">
        <v>0</v>
      </c>
      <c r="H155" s="29">
        <v>8594421</v>
      </c>
      <c r="I155" s="29">
        <v>0</v>
      </c>
      <c r="J155" s="7">
        <f t="shared" si="27"/>
        <v>0</v>
      </c>
      <c r="K155" s="29">
        <v>0</v>
      </c>
      <c r="L155" s="29">
        <v>0</v>
      </c>
      <c r="M155" s="29">
        <v>0</v>
      </c>
      <c r="N155" s="7" t="str">
        <f t="shared" si="28"/>
        <v xml:space="preserve"> </v>
      </c>
      <c r="O155" s="29">
        <v>0</v>
      </c>
      <c r="P155" s="8">
        <f t="shared" si="29"/>
        <v>-8594421</v>
      </c>
    </row>
    <row r="156" spans="1:16" x14ac:dyDescent="0.2">
      <c r="A156" s="26">
        <v>72008</v>
      </c>
      <c r="B156" s="12" t="str">
        <f t="shared" ref="B156:B159" si="30">LEFT(A156,1)</f>
        <v>7</v>
      </c>
      <c r="C156" s="12" t="str">
        <f t="shared" ref="C156:C159" si="31">LEFT(A156,2)</f>
        <v>72</v>
      </c>
      <c r="D156" s="27" t="str">
        <f t="shared" ref="D156:D159" si="32">LEFT(A156,3)</f>
        <v>720</v>
      </c>
      <c r="E156" s="28" t="s">
        <v>168</v>
      </c>
      <c r="F156" s="29">
        <v>0</v>
      </c>
      <c r="G156" s="29">
        <v>0</v>
      </c>
      <c r="H156" s="29">
        <v>0</v>
      </c>
      <c r="I156" s="29">
        <v>0</v>
      </c>
      <c r="J156" s="7" t="str">
        <f t="shared" si="27"/>
        <v xml:space="preserve"> </v>
      </c>
      <c r="K156" s="29">
        <v>0</v>
      </c>
      <c r="L156" s="29">
        <v>0</v>
      </c>
      <c r="M156" s="29">
        <v>0</v>
      </c>
      <c r="N156" s="7" t="str">
        <f t="shared" si="28"/>
        <v xml:space="preserve"> </v>
      </c>
      <c r="O156" s="29">
        <v>0</v>
      </c>
      <c r="P156" s="8">
        <f t="shared" si="29"/>
        <v>0</v>
      </c>
    </row>
    <row r="157" spans="1:16" x14ac:dyDescent="0.2">
      <c r="A157" s="26">
        <v>72009</v>
      </c>
      <c r="B157" s="12" t="str">
        <f t="shared" si="30"/>
        <v>7</v>
      </c>
      <c r="C157" s="12" t="str">
        <f t="shared" si="31"/>
        <v>72</v>
      </c>
      <c r="D157" s="27" t="str">
        <f t="shared" si="32"/>
        <v>720</v>
      </c>
      <c r="E157" s="28" t="s">
        <v>169</v>
      </c>
      <c r="F157" s="29">
        <v>0</v>
      </c>
      <c r="G157" s="29">
        <v>140000</v>
      </c>
      <c r="H157" s="29">
        <v>140000</v>
      </c>
      <c r="I157" s="29">
        <v>140000</v>
      </c>
      <c r="J157" s="7">
        <f t="shared" si="27"/>
        <v>1</v>
      </c>
      <c r="K157" s="29">
        <v>140000</v>
      </c>
      <c r="L157" s="29">
        <v>0</v>
      </c>
      <c r="M157" s="29">
        <v>140000</v>
      </c>
      <c r="N157" s="7">
        <f t="shared" si="28"/>
        <v>1</v>
      </c>
      <c r="O157" s="29">
        <v>0</v>
      </c>
      <c r="P157" s="8">
        <f t="shared" si="29"/>
        <v>0</v>
      </c>
    </row>
    <row r="158" spans="1:16" x14ac:dyDescent="0.2">
      <c r="A158" s="26">
        <v>72010</v>
      </c>
      <c r="B158" s="12" t="str">
        <f t="shared" si="30"/>
        <v>7</v>
      </c>
      <c r="C158" s="12" t="str">
        <f t="shared" si="31"/>
        <v>72</v>
      </c>
      <c r="D158" s="27" t="str">
        <f t="shared" si="32"/>
        <v>720</v>
      </c>
      <c r="E158" s="28" t="s">
        <v>170</v>
      </c>
      <c r="F158" s="29">
        <v>0</v>
      </c>
      <c r="G158" s="29">
        <v>0</v>
      </c>
      <c r="H158" s="29">
        <v>0</v>
      </c>
      <c r="I158" s="29">
        <v>0</v>
      </c>
      <c r="J158" s="7" t="str">
        <f t="shared" si="27"/>
        <v xml:space="preserve"> </v>
      </c>
      <c r="K158" s="29">
        <v>0</v>
      </c>
      <c r="L158" s="29">
        <v>0</v>
      </c>
      <c r="M158" s="29">
        <v>0</v>
      </c>
      <c r="N158" s="7" t="str">
        <f t="shared" si="28"/>
        <v xml:space="preserve"> </v>
      </c>
      <c r="O158" s="29">
        <v>0</v>
      </c>
      <c r="P158" s="8">
        <f t="shared" si="29"/>
        <v>0</v>
      </c>
    </row>
    <row r="159" spans="1:16" x14ac:dyDescent="0.2">
      <c r="A159" s="26">
        <v>75020</v>
      </c>
      <c r="B159" s="12" t="str">
        <f t="shared" si="30"/>
        <v>7</v>
      </c>
      <c r="C159" s="12" t="str">
        <f t="shared" si="31"/>
        <v>75</v>
      </c>
      <c r="D159" s="27" t="str">
        <f t="shared" si="32"/>
        <v>750</v>
      </c>
      <c r="E159" s="28" t="s">
        <v>171</v>
      </c>
      <c r="F159" s="29">
        <v>817815</v>
      </c>
      <c r="G159" s="29">
        <v>0</v>
      </c>
      <c r="H159" s="29">
        <v>817815</v>
      </c>
      <c r="I159" s="29">
        <v>0</v>
      </c>
      <c r="J159" s="7">
        <f t="shared" si="27"/>
        <v>0</v>
      </c>
      <c r="K159" s="29">
        <v>0</v>
      </c>
      <c r="L159" s="29">
        <v>0</v>
      </c>
      <c r="M159" s="29">
        <v>0</v>
      </c>
      <c r="N159" s="7" t="str">
        <f t="shared" si="28"/>
        <v xml:space="preserve"> </v>
      </c>
      <c r="O159" s="29">
        <v>0</v>
      </c>
      <c r="P159" s="8">
        <f t="shared" si="29"/>
        <v>-817815</v>
      </c>
    </row>
    <row r="160" spans="1:16" x14ac:dyDescent="0.2">
      <c r="A160" s="26">
        <v>75080</v>
      </c>
      <c r="B160" s="12" t="str">
        <f t="shared" si="24"/>
        <v>7</v>
      </c>
      <c r="C160" s="12" t="str">
        <f t="shared" si="25"/>
        <v>75</v>
      </c>
      <c r="D160" s="27" t="str">
        <f t="shared" si="26"/>
        <v>750</v>
      </c>
      <c r="E160" s="28" t="s">
        <v>172</v>
      </c>
      <c r="F160" s="29">
        <v>0</v>
      </c>
      <c r="G160" s="29">
        <v>0</v>
      </c>
      <c r="H160" s="29">
        <v>0</v>
      </c>
      <c r="I160" s="29">
        <v>127622.19</v>
      </c>
      <c r="J160" s="7" t="str">
        <f t="shared" si="27"/>
        <v xml:space="preserve"> </v>
      </c>
      <c r="K160" s="29">
        <v>127622.19</v>
      </c>
      <c r="L160" s="29">
        <v>0</v>
      </c>
      <c r="M160" s="29">
        <v>127622.19</v>
      </c>
      <c r="N160" s="7">
        <f t="shared" si="28"/>
        <v>1</v>
      </c>
      <c r="O160" s="29">
        <v>0</v>
      </c>
      <c r="P160" s="8">
        <f t="shared" si="29"/>
        <v>127622.19</v>
      </c>
    </row>
    <row r="161" spans="1:16" x14ac:dyDescent="0.2">
      <c r="A161" s="26">
        <v>75082</v>
      </c>
      <c r="B161" s="12" t="str">
        <f t="shared" si="24"/>
        <v>7</v>
      </c>
      <c r="C161" s="12" t="str">
        <f t="shared" si="25"/>
        <v>75</v>
      </c>
      <c r="D161" s="27" t="str">
        <f t="shared" si="26"/>
        <v>750</v>
      </c>
      <c r="E161" s="28" t="s">
        <v>173</v>
      </c>
      <c r="F161" s="29">
        <v>2452903</v>
      </c>
      <c r="G161" s="29">
        <v>0</v>
      </c>
      <c r="H161" s="29">
        <v>2452903</v>
      </c>
      <c r="I161" s="29">
        <v>356081.8</v>
      </c>
      <c r="J161" s="7">
        <f t="shared" si="27"/>
        <v>0.14516750152778157</v>
      </c>
      <c r="K161" s="29">
        <v>356081.8</v>
      </c>
      <c r="L161" s="29">
        <v>0</v>
      </c>
      <c r="M161" s="29">
        <v>356081.8</v>
      </c>
      <c r="N161" s="7">
        <f t="shared" si="28"/>
        <v>1</v>
      </c>
      <c r="O161" s="29">
        <v>0</v>
      </c>
      <c r="P161" s="8">
        <f t="shared" si="29"/>
        <v>-2096821.2</v>
      </c>
    </row>
    <row r="162" spans="1:16" x14ac:dyDescent="0.2">
      <c r="A162" s="26">
        <v>75084</v>
      </c>
      <c r="B162" s="12" t="str">
        <f t="shared" si="24"/>
        <v>7</v>
      </c>
      <c r="C162" s="12" t="str">
        <f t="shared" si="25"/>
        <v>75</v>
      </c>
      <c r="D162" s="27" t="str">
        <f t="shared" si="26"/>
        <v>750</v>
      </c>
      <c r="E162" s="28" t="s">
        <v>174</v>
      </c>
      <c r="F162" s="29">
        <v>905000</v>
      </c>
      <c r="G162" s="29">
        <v>0</v>
      </c>
      <c r="H162" s="29">
        <v>905000</v>
      </c>
      <c r="I162" s="29">
        <v>904201.19</v>
      </c>
      <c r="J162" s="7">
        <f t="shared" si="27"/>
        <v>0.99911733701657457</v>
      </c>
      <c r="K162" s="29">
        <v>904201.19</v>
      </c>
      <c r="L162" s="29">
        <v>0</v>
      </c>
      <c r="M162" s="29">
        <v>904201.19</v>
      </c>
      <c r="N162" s="7">
        <f t="shared" si="28"/>
        <v>1</v>
      </c>
      <c r="O162" s="29">
        <v>0</v>
      </c>
      <c r="P162" s="8">
        <f t="shared" si="29"/>
        <v>-798.81000000005588</v>
      </c>
    </row>
    <row r="163" spans="1:16" x14ac:dyDescent="0.2">
      <c r="A163" s="26">
        <v>75085</v>
      </c>
      <c r="B163" s="12" t="str">
        <f t="shared" si="24"/>
        <v>7</v>
      </c>
      <c r="C163" s="12" t="str">
        <f t="shared" si="25"/>
        <v>75</v>
      </c>
      <c r="D163" s="27" t="str">
        <f t="shared" si="26"/>
        <v>750</v>
      </c>
      <c r="E163" s="28" t="s">
        <v>175</v>
      </c>
      <c r="F163" s="29">
        <v>0</v>
      </c>
      <c r="G163" s="29">
        <v>0</v>
      </c>
      <c r="H163" s="29">
        <v>0</v>
      </c>
      <c r="I163" s="29">
        <v>0</v>
      </c>
      <c r="J163" s="7" t="str">
        <f t="shared" si="27"/>
        <v xml:space="preserve"> </v>
      </c>
      <c r="K163" s="29">
        <v>0</v>
      </c>
      <c r="L163" s="29">
        <v>0</v>
      </c>
      <c r="M163" s="29">
        <v>0</v>
      </c>
      <c r="N163" s="7" t="str">
        <f t="shared" si="28"/>
        <v xml:space="preserve"> </v>
      </c>
      <c r="O163" s="29">
        <v>0</v>
      </c>
      <c r="P163" s="8">
        <f t="shared" si="29"/>
        <v>0</v>
      </c>
    </row>
    <row r="164" spans="1:16" x14ac:dyDescent="0.2">
      <c r="A164" s="26">
        <v>75086</v>
      </c>
      <c r="B164" s="12" t="str">
        <f t="shared" si="24"/>
        <v>7</v>
      </c>
      <c r="C164" s="12" t="str">
        <f t="shared" si="25"/>
        <v>75</v>
      </c>
      <c r="D164" s="27" t="str">
        <f t="shared" si="26"/>
        <v>750</v>
      </c>
      <c r="E164" s="28" t="s">
        <v>176</v>
      </c>
      <c r="F164" s="29">
        <v>717252</v>
      </c>
      <c r="G164" s="29">
        <v>0</v>
      </c>
      <c r="H164" s="29">
        <v>717252</v>
      </c>
      <c r="I164" s="29">
        <v>0</v>
      </c>
      <c r="J164" s="7">
        <f t="shared" si="27"/>
        <v>0</v>
      </c>
      <c r="K164" s="29">
        <v>0</v>
      </c>
      <c r="L164" s="29">
        <v>0</v>
      </c>
      <c r="M164" s="29">
        <v>0</v>
      </c>
      <c r="N164" s="7" t="str">
        <f t="shared" si="28"/>
        <v xml:space="preserve"> </v>
      </c>
      <c r="O164" s="29">
        <v>0</v>
      </c>
      <c r="P164" s="8">
        <f t="shared" si="29"/>
        <v>-717252</v>
      </c>
    </row>
    <row r="165" spans="1:16" x14ac:dyDescent="0.2">
      <c r="A165" s="26">
        <v>75089</v>
      </c>
      <c r="B165" s="12" t="str">
        <f t="shared" ref="B165:B167" si="33">LEFT(A165,1)</f>
        <v>7</v>
      </c>
      <c r="C165" s="12" t="str">
        <f t="shared" ref="C165:C167" si="34">LEFT(A165,2)</f>
        <v>75</v>
      </c>
      <c r="D165" s="27" t="str">
        <f t="shared" ref="D165:D167" si="35">LEFT(A165,3)</f>
        <v>750</v>
      </c>
      <c r="E165" s="28" t="s">
        <v>177</v>
      </c>
      <c r="F165" s="29">
        <v>0</v>
      </c>
      <c r="G165" s="29">
        <v>0</v>
      </c>
      <c r="H165" s="29">
        <v>0</v>
      </c>
      <c r="I165" s="29">
        <v>0</v>
      </c>
      <c r="J165" s="7"/>
      <c r="K165" s="29">
        <v>0</v>
      </c>
      <c r="L165" s="29">
        <v>0</v>
      </c>
      <c r="M165" s="29">
        <v>0</v>
      </c>
      <c r="N165" s="7" t="str">
        <f t="shared" ref="N165:N167" si="36">IF(I165=0," ",M165/I165)</f>
        <v xml:space="preserve"> </v>
      </c>
      <c r="O165" s="29">
        <v>0</v>
      </c>
      <c r="P165" s="8"/>
    </row>
    <row r="166" spans="1:16" x14ac:dyDescent="0.2">
      <c r="A166" s="26">
        <v>76601</v>
      </c>
      <c r="B166" s="12" t="str">
        <f t="shared" si="33"/>
        <v>7</v>
      </c>
      <c r="C166" s="12" t="str">
        <f t="shared" si="34"/>
        <v>76</v>
      </c>
      <c r="D166" s="27" t="str">
        <f t="shared" si="35"/>
        <v>766</v>
      </c>
      <c r="E166" s="28" t="s">
        <v>178</v>
      </c>
      <c r="F166" s="29">
        <v>0</v>
      </c>
      <c r="G166" s="29">
        <v>0</v>
      </c>
      <c r="H166" s="29">
        <v>0</v>
      </c>
      <c r="I166" s="29">
        <v>120000</v>
      </c>
      <c r="J166" s="7"/>
      <c r="K166" s="29">
        <v>120000</v>
      </c>
      <c r="L166" s="29">
        <v>0</v>
      </c>
      <c r="M166" s="29">
        <v>120000</v>
      </c>
      <c r="N166" s="7">
        <f t="shared" si="36"/>
        <v>1</v>
      </c>
      <c r="O166" s="29">
        <v>0</v>
      </c>
      <c r="P166" s="8"/>
    </row>
    <row r="167" spans="1:16" x14ac:dyDescent="0.2">
      <c r="A167" s="26">
        <v>77000</v>
      </c>
      <c r="B167" s="12" t="str">
        <f t="shared" si="33"/>
        <v>7</v>
      </c>
      <c r="C167" s="12" t="str">
        <f t="shared" si="34"/>
        <v>77</v>
      </c>
      <c r="D167" s="27" t="str">
        <f t="shared" si="35"/>
        <v>770</v>
      </c>
      <c r="E167" s="28" t="s">
        <v>179</v>
      </c>
      <c r="F167" s="29">
        <v>40000</v>
      </c>
      <c r="G167" s="29">
        <v>0</v>
      </c>
      <c r="H167" s="29">
        <v>40000</v>
      </c>
      <c r="I167" s="29">
        <v>0</v>
      </c>
      <c r="J167" s="7"/>
      <c r="K167" s="29">
        <v>0</v>
      </c>
      <c r="L167" s="29">
        <v>0</v>
      </c>
      <c r="M167" s="29">
        <v>0</v>
      </c>
      <c r="N167" s="7" t="str">
        <f t="shared" si="36"/>
        <v xml:space="preserve"> </v>
      </c>
      <c r="O167" s="29">
        <v>0</v>
      </c>
      <c r="P167" s="8"/>
    </row>
    <row r="168" spans="1:16" x14ac:dyDescent="0.2">
      <c r="A168" s="26">
        <v>79116</v>
      </c>
      <c r="B168" s="12" t="str">
        <f t="shared" si="24"/>
        <v>7</v>
      </c>
      <c r="C168" s="12" t="str">
        <f t="shared" si="25"/>
        <v>79</v>
      </c>
      <c r="D168" s="27" t="str">
        <f t="shared" si="26"/>
        <v>791</v>
      </c>
      <c r="E168" s="28" t="s">
        <v>180</v>
      </c>
      <c r="F168" s="29">
        <v>0</v>
      </c>
      <c r="G168" s="29">
        <v>0</v>
      </c>
      <c r="H168" s="29">
        <v>0</v>
      </c>
      <c r="I168" s="29">
        <v>37803.040000000001</v>
      </c>
      <c r="J168" s="7" t="str">
        <f t="shared" si="27"/>
        <v xml:space="preserve"> </v>
      </c>
      <c r="K168" s="29">
        <v>37803.040000000001</v>
      </c>
      <c r="L168" s="29">
        <v>0</v>
      </c>
      <c r="M168" s="29">
        <v>37803.040000000001</v>
      </c>
      <c r="N168" s="7">
        <f t="shared" si="28"/>
        <v>1</v>
      </c>
      <c r="O168" s="29">
        <v>0</v>
      </c>
      <c r="P168" s="8">
        <f t="shared" si="29"/>
        <v>37803.040000000001</v>
      </c>
    </row>
    <row r="169" spans="1:16" x14ac:dyDescent="0.2">
      <c r="A169" s="26">
        <v>79703</v>
      </c>
      <c r="B169" s="12" t="str">
        <f t="shared" si="24"/>
        <v>7</v>
      </c>
      <c r="C169" s="12" t="str">
        <f t="shared" si="25"/>
        <v>79</v>
      </c>
      <c r="D169" s="27" t="str">
        <f t="shared" si="26"/>
        <v>797</v>
      </c>
      <c r="E169" s="28" t="s">
        <v>143</v>
      </c>
      <c r="F169" s="29">
        <v>543207</v>
      </c>
      <c r="G169" s="29">
        <v>0</v>
      </c>
      <c r="H169" s="29">
        <v>543207</v>
      </c>
      <c r="I169" s="29">
        <v>543207.38</v>
      </c>
      <c r="J169" s="7">
        <f t="shared" si="27"/>
        <v>1.000000699549159</v>
      </c>
      <c r="K169" s="29">
        <v>543207.38</v>
      </c>
      <c r="L169" s="29">
        <v>0</v>
      </c>
      <c r="M169" s="29">
        <v>543207.38</v>
      </c>
      <c r="N169" s="7">
        <f t="shared" si="28"/>
        <v>1</v>
      </c>
      <c r="O169" s="29">
        <v>0</v>
      </c>
      <c r="P169" s="8">
        <f t="shared" si="29"/>
        <v>0.38000000000465661</v>
      </c>
    </row>
    <row r="170" spans="1:16" x14ac:dyDescent="0.2">
      <c r="A170" s="30"/>
      <c r="B170" s="31"/>
      <c r="C170" s="31"/>
      <c r="D170" s="30"/>
      <c r="E170" s="35" t="s">
        <v>20</v>
      </c>
      <c r="F170" s="32">
        <f>SUBTOTAL(109,F150:F169)</f>
        <v>25666261</v>
      </c>
      <c r="G170" s="32">
        <f>SUBTOTAL(109,G150:G169)</f>
        <v>1190567.1000000001</v>
      </c>
      <c r="H170" s="32">
        <f>SUBTOTAL(109,H150:H169)</f>
        <v>26856828.100000001</v>
      </c>
      <c r="I170" s="32">
        <f>SUBTOTAL(109,I150:I169)</f>
        <v>7695151.1099999994</v>
      </c>
      <c r="J170" s="33">
        <f>IF(H170=0," ",I170/H170)</f>
        <v>0.28652494186385319</v>
      </c>
      <c r="K170" s="32">
        <f>SUBTOTAL(109,K150:K169)</f>
        <v>7324724.6300000008</v>
      </c>
      <c r="L170" s="32">
        <f>SUBTOTAL(109,L150:L169)</f>
        <v>0</v>
      </c>
      <c r="M170" s="32">
        <f>SUBTOTAL(109,M150:M169)</f>
        <v>7324724.6300000008</v>
      </c>
      <c r="N170" s="10">
        <f t="shared" si="28"/>
        <v>0.95186235140741782</v>
      </c>
      <c r="O170" s="32">
        <f>SUBTOTAL(109,O150:O169)</f>
        <v>370426.48</v>
      </c>
      <c r="P170" s="34">
        <f>SUBTOTAL(109,P150:P169)</f>
        <v>-19241676.990000002</v>
      </c>
    </row>
    <row r="172" spans="1:16" ht="25.5" x14ac:dyDescent="0.2">
      <c r="A172" s="3" t="s">
        <v>2</v>
      </c>
      <c r="B172" s="3" t="s">
        <v>16</v>
      </c>
      <c r="C172" s="3" t="s">
        <v>17</v>
      </c>
      <c r="D172" s="3" t="s">
        <v>18</v>
      </c>
      <c r="E172" s="4" t="s">
        <v>3</v>
      </c>
      <c r="F172" s="4" t="s">
        <v>4</v>
      </c>
      <c r="G172" s="3" t="s">
        <v>5</v>
      </c>
      <c r="H172" s="4" t="s">
        <v>6</v>
      </c>
      <c r="I172" s="4" t="s">
        <v>7</v>
      </c>
      <c r="J172" s="4" t="s">
        <v>8</v>
      </c>
      <c r="K172" s="4" t="s">
        <v>9</v>
      </c>
      <c r="L172" s="4" t="s">
        <v>10</v>
      </c>
      <c r="M172" s="4" t="s">
        <v>11</v>
      </c>
      <c r="N172" s="6" t="s">
        <v>12</v>
      </c>
      <c r="O172" s="4" t="s">
        <v>13</v>
      </c>
      <c r="P172" s="4" t="s">
        <v>14</v>
      </c>
    </row>
    <row r="173" spans="1:16" x14ac:dyDescent="0.2">
      <c r="A173" s="26">
        <v>82091</v>
      </c>
      <c r="B173" s="12" t="str">
        <f t="shared" ref="B173" si="37">LEFT(A173,1)</f>
        <v>8</v>
      </c>
      <c r="C173" s="12" t="str">
        <f t="shared" ref="C173" si="38">LEFT(A173,2)</f>
        <v>82</v>
      </c>
      <c r="D173" s="27" t="str">
        <f t="shared" ref="D173" si="39">LEFT(A173,3)</f>
        <v>820</v>
      </c>
      <c r="E173" s="28" t="s">
        <v>181</v>
      </c>
      <c r="F173" s="29">
        <v>100000</v>
      </c>
      <c r="G173" s="29">
        <v>0</v>
      </c>
      <c r="H173" s="29">
        <v>100000</v>
      </c>
      <c r="I173" s="29">
        <v>0</v>
      </c>
      <c r="J173" s="7">
        <f t="shared" ref="J173:J180" si="40">IF(H173=0," ",I173/H173)</f>
        <v>0</v>
      </c>
      <c r="K173" s="29">
        <v>0</v>
      </c>
      <c r="L173" s="29">
        <v>0</v>
      </c>
      <c r="M173" s="29">
        <v>0</v>
      </c>
      <c r="N173" s="7" t="str">
        <f t="shared" ref="N173:N181" si="41">IF(I173=0," ",M173/I173)</f>
        <v xml:space="preserve"> </v>
      </c>
      <c r="O173" s="29">
        <v>0</v>
      </c>
      <c r="P173" s="8">
        <f t="shared" ref="P173:P180" si="42">I173-H173</f>
        <v>-100000</v>
      </c>
    </row>
    <row r="174" spans="1:16" x14ac:dyDescent="0.2">
      <c r="A174" s="26">
        <v>83000</v>
      </c>
      <c r="B174" s="12" t="str">
        <f t="shared" ref="B174:B180" si="43">LEFT(A174,1)</f>
        <v>8</v>
      </c>
      <c r="C174" s="12" t="str">
        <f t="shared" ref="C174:C180" si="44">LEFT(A174,2)</f>
        <v>83</v>
      </c>
      <c r="D174" s="27" t="str">
        <f t="shared" ref="D174:D180" si="45">LEFT(A174,3)</f>
        <v>830</v>
      </c>
      <c r="E174" s="28" t="s">
        <v>182</v>
      </c>
      <c r="F174" s="29">
        <v>47500</v>
      </c>
      <c r="G174" s="29">
        <v>0</v>
      </c>
      <c r="H174" s="29">
        <v>47500</v>
      </c>
      <c r="I174" s="29">
        <v>132.38999999999999</v>
      </c>
      <c r="J174" s="7">
        <f t="shared" si="40"/>
        <v>2.7871578947368417E-3</v>
      </c>
      <c r="K174" s="29">
        <v>680.69</v>
      </c>
      <c r="L174" s="29">
        <v>548.29999999999995</v>
      </c>
      <c r="M174" s="29">
        <v>132.38999999999999</v>
      </c>
      <c r="N174" s="7">
        <f t="shared" si="41"/>
        <v>1</v>
      </c>
      <c r="O174" s="29">
        <v>0</v>
      </c>
      <c r="P174" s="8">
        <f t="shared" si="42"/>
        <v>-47367.61</v>
      </c>
    </row>
    <row r="175" spans="1:16" x14ac:dyDescent="0.2">
      <c r="A175" s="26">
        <v>83001</v>
      </c>
      <c r="B175" s="12" t="str">
        <f t="shared" si="43"/>
        <v>8</v>
      </c>
      <c r="C175" s="12" t="str">
        <f t="shared" si="44"/>
        <v>83</v>
      </c>
      <c r="D175" s="27" t="str">
        <f t="shared" si="45"/>
        <v>830</v>
      </c>
      <c r="E175" s="28" t="s">
        <v>183</v>
      </c>
      <c r="F175" s="29">
        <v>170000</v>
      </c>
      <c r="G175" s="29">
        <v>0</v>
      </c>
      <c r="H175" s="29">
        <v>170000</v>
      </c>
      <c r="I175" s="29">
        <v>86177.21</v>
      </c>
      <c r="J175" s="7">
        <f t="shared" si="40"/>
        <v>0.50692476470588244</v>
      </c>
      <c r="K175" s="29">
        <v>86227.21</v>
      </c>
      <c r="L175" s="29">
        <v>50</v>
      </c>
      <c r="M175" s="29">
        <v>86177.21</v>
      </c>
      <c r="N175" s="7">
        <f t="shared" si="41"/>
        <v>1</v>
      </c>
      <c r="O175" s="29">
        <v>0</v>
      </c>
      <c r="P175" s="8">
        <f t="shared" si="42"/>
        <v>-83822.789999999994</v>
      </c>
    </row>
    <row r="176" spans="1:16" x14ac:dyDescent="0.2">
      <c r="A176" s="26">
        <v>83100</v>
      </c>
      <c r="B176" s="12" t="str">
        <f t="shared" si="43"/>
        <v>8</v>
      </c>
      <c r="C176" s="12" t="str">
        <f t="shared" si="44"/>
        <v>83</v>
      </c>
      <c r="D176" s="27" t="str">
        <f t="shared" si="45"/>
        <v>831</v>
      </c>
      <c r="E176" s="28" t="s">
        <v>184</v>
      </c>
      <c r="F176" s="29">
        <v>445000</v>
      </c>
      <c r="G176" s="29">
        <v>0</v>
      </c>
      <c r="H176" s="29">
        <v>445000</v>
      </c>
      <c r="I176" s="29">
        <v>5609.47</v>
      </c>
      <c r="J176" s="7">
        <f t="shared" si="40"/>
        <v>1.2605550561797754E-2</v>
      </c>
      <c r="K176" s="29">
        <v>0</v>
      </c>
      <c r="L176" s="29">
        <v>0</v>
      </c>
      <c r="M176" s="29">
        <v>0</v>
      </c>
      <c r="N176" s="7">
        <f t="shared" si="41"/>
        <v>0</v>
      </c>
      <c r="O176" s="29">
        <v>5609.47</v>
      </c>
      <c r="P176" s="8">
        <f t="shared" si="42"/>
        <v>-439390.53</v>
      </c>
    </row>
    <row r="177" spans="1:16" x14ac:dyDescent="0.2">
      <c r="A177" s="26">
        <v>83101</v>
      </c>
      <c r="B177" s="12" t="str">
        <f t="shared" si="43"/>
        <v>8</v>
      </c>
      <c r="C177" s="12" t="str">
        <f t="shared" si="44"/>
        <v>83</v>
      </c>
      <c r="D177" s="27" t="str">
        <f t="shared" si="45"/>
        <v>831</v>
      </c>
      <c r="E177" s="28" t="s">
        <v>185</v>
      </c>
      <c r="F177" s="29">
        <v>400000</v>
      </c>
      <c r="G177" s="29">
        <v>0</v>
      </c>
      <c r="H177" s="29">
        <v>400000</v>
      </c>
      <c r="I177" s="29">
        <v>70505.36</v>
      </c>
      <c r="J177" s="7">
        <f t="shared" si="40"/>
        <v>0.17626340000000001</v>
      </c>
      <c r="K177" s="29">
        <v>70505.36</v>
      </c>
      <c r="L177" s="29">
        <v>0</v>
      </c>
      <c r="M177" s="29">
        <v>70505.36</v>
      </c>
      <c r="N177" s="7">
        <f t="shared" si="41"/>
        <v>1</v>
      </c>
      <c r="O177" s="29">
        <v>0</v>
      </c>
      <c r="P177" s="8">
        <f t="shared" si="42"/>
        <v>-329494.64</v>
      </c>
    </row>
    <row r="178" spans="1:16" x14ac:dyDescent="0.2">
      <c r="A178" s="26">
        <v>87000</v>
      </c>
      <c r="B178" s="12" t="str">
        <f t="shared" si="43"/>
        <v>8</v>
      </c>
      <c r="C178" s="12" t="str">
        <f t="shared" si="44"/>
        <v>87</v>
      </c>
      <c r="D178" s="27" t="str">
        <f t="shared" si="45"/>
        <v>870</v>
      </c>
      <c r="E178" s="28" t="s">
        <v>186</v>
      </c>
      <c r="F178" s="29">
        <v>0</v>
      </c>
      <c r="G178" s="29">
        <v>12867120.68</v>
      </c>
      <c r="H178" s="29">
        <v>12867120.68</v>
      </c>
      <c r="I178" s="29">
        <v>0</v>
      </c>
      <c r="J178" s="7">
        <f t="shared" si="40"/>
        <v>0</v>
      </c>
      <c r="K178" s="29">
        <v>0</v>
      </c>
      <c r="L178" s="29">
        <v>0</v>
      </c>
      <c r="M178" s="29">
        <v>0</v>
      </c>
      <c r="N178" s="7" t="str">
        <f t="shared" si="41"/>
        <v xml:space="preserve"> </v>
      </c>
      <c r="O178" s="29">
        <v>0</v>
      </c>
      <c r="P178" s="8">
        <f t="shared" si="42"/>
        <v>-12867120.68</v>
      </c>
    </row>
    <row r="179" spans="1:16" x14ac:dyDescent="0.2">
      <c r="A179" s="26">
        <v>87010</v>
      </c>
      <c r="B179" s="12" t="str">
        <f t="shared" si="43"/>
        <v>8</v>
      </c>
      <c r="C179" s="12" t="str">
        <f t="shared" si="44"/>
        <v>87</v>
      </c>
      <c r="D179" s="27" t="str">
        <f t="shared" si="45"/>
        <v>870</v>
      </c>
      <c r="E179" s="28" t="s">
        <v>187</v>
      </c>
      <c r="F179" s="29">
        <v>0</v>
      </c>
      <c r="G179" s="29">
        <v>17623523.260000002</v>
      </c>
      <c r="H179" s="29">
        <v>17623523.260000002</v>
      </c>
      <c r="I179" s="29">
        <v>0</v>
      </c>
      <c r="J179" s="7">
        <f t="shared" si="40"/>
        <v>0</v>
      </c>
      <c r="K179" s="29">
        <v>0</v>
      </c>
      <c r="L179" s="29">
        <v>0</v>
      </c>
      <c r="M179" s="29">
        <v>0</v>
      </c>
      <c r="N179" s="7" t="str">
        <f t="shared" si="41"/>
        <v xml:space="preserve"> </v>
      </c>
      <c r="O179" s="29">
        <v>0</v>
      </c>
      <c r="P179" s="8">
        <f t="shared" si="42"/>
        <v>-17623523.260000002</v>
      </c>
    </row>
    <row r="180" spans="1:16" x14ac:dyDescent="0.2">
      <c r="A180" s="26">
        <v>91300</v>
      </c>
      <c r="B180" s="12" t="str">
        <f t="shared" si="43"/>
        <v>9</v>
      </c>
      <c r="C180" s="12" t="str">
        <f t="shared" si="44"/>
        <v>91</v>
      </c>
      <c r="D180" s="27" t="str">
        <f t="shared" si="45"/>
        <v>913</v>
      </c>
      <c r="E180" s="28" t="s">
        <v>188</v>
      </c>
      <c r="F180" s="29">
        <v>14700000</v>
      </c>
      <c r="G180" s="29">
        <v>0</v>
      </c>
      <c r="H180" s="29">
        <v>14700000</v>
      </c>
      <c r="I180" s="29">
        <v>0</v>
      </c>
      <c r="J180" s="7">
        <f t="shared" si="40"/>
        <v>0</v>
      </c>
      <c r="K180" s="29">
        <v>0</v>
      </c>
      <c r="L180" s="29">
        <v>0</v>
      </c>
      <c r="M180" s="29">
        <v>0</v>
      </c>
      <c r="N180" s="7" t="str">
        <f t="shared" si="41"/>
        <v xml:space="preserve"> </v>
      </c>
      <c r="O180" s="29">
        <v>0</v>
      </c>
      <c r="P180" s="8">
        <f t="shared" si="42"/>
        <v>-14700000</v>
      </c>
    </row>
    <row r="181" spans="1:16" x14ac:dyDescent="0.2">
      <c r="A181" s="30"/>
      <c r="B181" s="31"/>
      <c r="C181" s="31"/>
      <c r="D181" s="30"/>
      <c r="E181" s="35" t="s">
        <v>21</v>
      </c>
      <c r="F181" s="32">
        <f>SUBTOTAL(109,Tabla3[Previsiones Iniciales])</f>
        <v>15862500</v>
      </c>
      <c r="G181" s="32">
        <f>SUBTOTAL(109,Tabla3[Modificaciones])</f>
        <v>30490643.940000001</v>
      </c>
      <c r="H181" s="32">
        <f>SUBTOTAL(109,Tabla3[Previsiones Definitivas])</f>
        <v>46353143.939999998</v>
      </c>
      <c r="I181" s="32">
        <f>SUBTOTAL(109,Tabla3[Derechos Netos])</f>
        <v>162424.43</v>
      </c>
      <c r="J181" s="33">
        <f>IF(H181=0," ",I181/H181)</f>
        <v>3.5040650146674819E-3</v>
      </c>
      <c r="K181" s="32">
        <f>SUBTOTAL(109,Tabla3[Ingresos Realizados])</f>
        <v>157413.26</v>
      </c>
      <c r="L181" s="32">
        <f>SUBTOTAL(109,Tabla3[Devoluciones de Ingresos])</f>
        <v>598.29999999999995</v>
      </c>
      <c r="M181" s="32">
        <f>SUBTOTAL(109,Tabla3[Recaudación Líquida])</f>
        <v>156814.96000000002</v>
      </c>
      <c r="N181" s="33">
        <f t="shared" si="41"/>
        <v>0.96546412383900637</v>
      </c>
      <c r="O181" s="32">
        <f>SUBTOTAL(109,Tabla3[Pendiente de Cobro])</f>
        <v>5609.47</v>
      </c>
      <c r="P181" s="34">
        <f>SUBTOTAL(109,Tabla3[Estado de Ejecución])</f>
        <v>-46190719.510000005</v>
      </c>
    </row>
    <row r="183" spans="1:16" x14ac:dyDescent="0.2">
      <c r="A183" s="13"/>
      <c r="B183" s="13"/>
      <c r="C183" s="13"/>
      <c r="D183" s="13"/>
      <c r="E183" s="36" t="s">
        <v>22</v>
      </c>
      <c r="F183" s="9">
        <f>Tabla1[[#Totals],[Previsiones Iniciales]]+F170+Tabla3[[#Totals],[Previsiones Iniciales]]</f>
        <v>361451862</v>
      </c>
      <c r="G183" s="9">
        <f>Tabla1[[#Totals],[Modificaciones]]+G170+Tabla3[[#Totals],[Modificaciones]]</f>
        <v>35122798.630000003</v>
      </c>
      <c r="H183" s="9">
        <f>Tabla1[[#Totals],[Previsiones Definitivas]]+H170+Tabla3[[#Totals],[Previsiones Definitivas]]</f>
        <v>396574660.63</v>
      </c>
      <c r="I183" s="9">
        <f>Tabla1[[#Totals],[Derechos Netos]]+I170+Tabla3[[#Totals],[Derechos Netos]]</f>
        <v>215453842.20999998</v>
      </c>
      <c r="J183" s="33">
        <f>IF(H183=0," ",I183/H183)</f>
        <v>0.54328696106737928</v>
      </c>
      <c r="K183" s="9">
        <f>Tabla1[[#Totals],[Ingresos Realizados]]+K170+Tabla3[[#Totals],[Ingresos Realizados]]</f>
        <v>119366984.67</v>
      </c>
      <c r="L183" s="9">
        <f>Tabla1[[#Totals],[Devoluciones de Ingresos]]+L170+Tabla3[[#Totals],[Devoluciones de Ingresos]]</f>
        <v>5817389.7199999997</v>
      </c>
      <c r="M183" s="9">
        <f>Tabla1[[#Totals],[Recaudación Líquida]]+M170+Tabla3[[#Totals],[Recaudación Líquida]]</f>
        <v>113549594.94999999</v>
      </c>
      <c r="N183" s="33">
        <f t="shared" ref="N183" si="46">IF(I183=0," ",M183/I183)</f>
        <v>0.52702515668912842</v>
      </c>
      <c r="O183" s="9">
        <f>Tabla1[[#Totals],[Pendiente de Cobro]]+O170+Tabla3[[#Totals],[Pendiente de Cobro]]</f>
        <v>101904247.26000001</v>
      </c>
      <c r="P183" s="9">
        <f t="shared" ref="P183" si="47">I183-H183</f>
        <v>-181120818.42000002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0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JULIO 24</vt:lpstr>
      <vt:lpstr>'EJECUCIÓN INGRESOS 31 JULIO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2024-08-01T12:40:04Z</dcterms:modified>
</cp:coreProperties>
</file>