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4 - ABRIL\"/>
    </mc:Choice>
  </mc:AlternateContent>
  <xr:revisionPtr revIDLastSave="0" documentId="13_ncr:1_{63B70BB2-FB30-43E6-B9EC-F89989CFBB42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0 ABRIL 24" sheetId="2" r:id="rId1"/>
  </sheets>
  <definedNames>
    <definedName name="_xlnm.Print_Titles" localSheetId="0">'EJECUCIÓN INGRESOS 30 ABRIL 24'!$1:$5</definedName>
  </definedNames>
  <calcPr calcId="152511"/>
</workbook>
</file>

<file path=xl/calcChain.xml><?xml version="1.0" encoding="utf-8"?>
<calcChain xmlns="http://schemas.openxmlformats.org/spreadsheetml/2006/main">
  <c r="P138" i="2" l="1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J129" i="2" l="1"/>
  <c r="J130" i="2"/>
  <c r="J131" i="2"/>
  <c r="J132" i="2"/>
  <c r="J133" i="2"/>
  <c r="N129" i="2"/>
  <c r="N130" i="2"/>
  <c r="N131" i="2"/>
  <c r="N132" i="2"/>
  <c r="N133" i="2"/>
  <c r="P129" i="2"/>
  <c r="P130" i="2"/>
  <c r="P131" i="2"/>
  <c r="P132" i="2"/>
  <c r="P133" i="2"/>
  <c r="P160" i="2" l="1"/>
  <c r="P161" i="2"/>
  <c r="P162" i="2"/>
  <c r="P163" i="2"/>
  <c r="P164" i="2"/>
  <c r="P165" i="2"/>
  <c r="P166" i="2"/>
  <c r="P159" i="2"/>
  <c r="O167" i="2"/>
  <c r="N160" i="2"/>
  <c r="N161" i="2"/>
  <c r="N162" i="2"/>
  <c r="N163" i="2"/>
  <c r="N164" i="2"/>
  <c r="N165" i="2"/>
  <c r="N166" i="2"/>
  <c r="N159" i="2"/>
  <c r="M167" i="2"/>
  <c r="L167" i="2"/>
  <c r="K167" i="2"/>
  <c r="J160" i="2"/>
  <c r="J161" i="2"/>
  <c r="J162" i="2"/>
  <c r="J163" i="2"/>
  <c r="J164" i="2"/>
  <c r="J165" i="2"/>
  <c r="J166" i="2"/>
  <c r="J159" i="2"/>
  <c r="I167" i="2"/>
  <c r="H167" i="2"/>
  <c r="J167" i="2" s="1"/>
  <c r="G167" i="2"/>
  <c r="F167" i="2"/>
  <c r="F134" i="2"/>
  <c r="G134" i="2"/>
  <c r="H134" i="2"/>
  <c r="I134" i="2"/>
  <c r="K134" i="2"/>
  <c r="L134" i="2"/>
  <c r="M134" i="2"/>
  <c r="O134" i="2"/>
  <c r="F156" i="2"/>
  <c r="I156" i="2"/>
  <c r="H156" i="2"/>
  <c r="G156" i="2"/>
  <c r="F169" i="2" l="1"/>
  <c r="I169" i="2"/>
  <c r="H169" i="2"/>
  <c r="G169" i="2"/>
  <c r="N167" i="2"/>
  <c r="P167" i="2"/>
  <c r="J156" i="2"/>
  <c r="J134" i="2"/>
  <c r="N134" i="2"/>
  <c r="P137" i="2"/>
  <c r="O156" i="2"/>
  <c r="O169" i="2" s="1"/>
  <c r="N137" i="2"/>
  <c r="M156" i="2"/>
  <c r="N156" i="2" s="1"/>
  <c r="L156" i="2"/>
  <c r="L169" i="2" s="1"/>
  <c r="K156" i="2"/>
  <c r="K169" i="2" s="1"/>
  <c r="J137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6" i="2"/>
  <c r="P169" i="2" l="1"/>
  <c r="J169" i="2"/>
  <c r="M169" i="2"/>
  <c r="N169" i="2" s="1"/>
  <c r="P134" i="2"/>
  <c r="P156" i="2"/>
  <c r="D155" i="2" l="1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</calcChain>
</file>

<file path=xl/sharedStrings.xml><?xml version="1.0" encoding="utf-8"?>
<sst xmlns="http://schemas.openxmlformats.org/spreadsheetml/2006/main" count="773" uniqueCount="415">
  <si>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</si>
  <si>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</si>
  <si>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</si>
  <si>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</si>
  <si>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</si>
  <si>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</si>
  <si>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</si>
  <si>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</si>
  <si>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</si>
  <si>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</si>
  <si>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</si>
  <si>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</si>
  <si>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</si>
  <si>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</si>
  <si>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</si>
  <si>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</si>
  <si>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</si>
  <si>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</si>
  <si>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</si>
  <si>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</si>
  <si>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</si>
  <si>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</si>
  <si>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</si>
  <si>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</si>
  <si>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</si>
  <si>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</si>
  <si>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</si>
  <si>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</si>
  <si>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</si>
  <si>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</si>
  <si>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</si>
  <si>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</si>
  <si>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</si>
  <si>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</si>
  <si>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</si>
  <si>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</si>
  <si>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</si>
  <si>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</si>
  <si>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</si>
  <si>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</si>
  <si>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</si>
  <si>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</si>
  <si>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</si>
  <si>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</si>
  <si>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</si>
  <si>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</si>
  <si>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</si>
  <si>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</si>
  <si>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</si>
  <si>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</si>
  <si>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</si>
  <si>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</si>
  <si>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</si>
  <si>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</si>
  <si>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</si>
  <si>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</si>
  <si>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</si>
  <si>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</si>
  <si>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</si>
  <si>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</si>
  <si>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</si>
  <si>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</si>
  <si>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</si>
  <si>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</si>
  <si>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</si>
  <si>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</si>
  <si>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</si>
  <si>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</si>
  <si>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</si>
  <si>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</si>
  <si>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</si>
  <si>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</si>
  <si>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</si>
  <si>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</si>
  <si>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</si>
  <si>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</si>
  <si>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</si>
  <si>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</si>
  <si>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</si>
  <si>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</si>
  <si>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</si>
  <si>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</si>
  <si>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</si>
  <si>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</si>
  <si>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COSTAS JUDICIALES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</si>
  <si>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</si>
  <si>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</si>
  <si>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</si>
  <si>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</si>
  <si>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</si>
  <si>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</si>
  <si>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</si>
  <si>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</si>
  <si>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</si>
  <si>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</si>
  <si>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</si>
  <si>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</si>
  <si>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</si>
  <si>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</si>
  <si>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</si>
  <si>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</si>
  <si>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</si>
  <si>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</si>
  <si>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</si>
  <si>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</si>
  <si>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</si>
  <si>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</si>
  <si>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</si>
  <si>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URBAN GREEN UP</t>
  </si>
  <si>
    <t>Proyecto AEROSOLDF.</t>
  </si>
  <si>
    <t>Proyecto URBANE.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</si>
  <si>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</si>
  <si>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</si>
  <si>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</si>
  <si>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</si>
  <si>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</si>
  <si>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</si>
  <si>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</si>
  <si>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</si>
  <si>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</si>
  <si>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Otras transf.UE.Fdos.MRR (Mº I., Comercio y T.)  Innovación.</t>
  </si>
  <si>
    <t>Otras Transf. UE Fdos. MRR. Área de Movilidad. (MITMA)</t>
  </si>
  <si>
    <t>Transf. UE. Fds. MRR:  Área de Medio Ambiente. (JCYL)</t>
  </si>
  <si>
    <t>JCYL- Fondo de Cooperación Local inversiones ODS.</t>
  </si>
  <si>
    <t>Transf. UE. Fds. MRR:  Área de Salud Pública. (JCYL)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</si>
  <si>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</si>
  <si>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</si>
  <si>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</si>
  <si>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</si>
  <si>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</si>
  <si>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</si>
  <si>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</si>
  <si>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</si>
  <si>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MULTAS INFRACCION PREVENCION SANITARIA</t>
  </si>
  <si>
    <t>COMPENSACIÓN GASTOS DE NÓMINA</t>
  </si>
  <si>
    <t>Transf.UE. Fdos. MRR: Área Mercados (Mº I., Comercio y T.)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</si>
  <si>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</si>
  <si>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</si>
  <si>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</si>
  <si>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</si>
  <si>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</si>
  <si>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Transf. Administración General de la Comunidad Autónoma</t>
  </si>
  <si>
    <t>Subv. JCYL: aportación Premios Goya</t>
  </si>
  <si>
    <t>JCYL: Promoción de la igualdad y contra la violencia de géne</t>
  </si>
  <si>
    <t>ECYL. Programa mixto: parques y jardines V</t>
  </si>
  <si>
    <t>ECYL: programa mixto Auxiliar de centro</t>
  </si>
  <si>
    <t>ECYL: programa mixto Pintura decorativa VI</t>
  </si>
  <si>
    <t>ECYL: programa mixto Valladolid Cuida VI</t>
  </si>
  <si>
    <t>Proyecto CENCYL CIUDADES VERDES</t>
  </si>
  <si>
    <t>Proyecto PROSPECT + cambio climatico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</si>
  <si>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</si>
  <si>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</si>
  <si>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</si>
  <si>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</si>
  <si>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</si>
  <si>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Mº Transportes Fdos. MRR Área M.Ambiente ZBE</t>
  </si>
  <si>
    <t>Fdos. MRR Mº Industria y Turismo. Área de Turismo</t>
  </si>
  <si>
    <t>JCYL: prevención incendios</t>
  </si>
  <si>
    <t>Transf. JCYL Fdos. MRR Educación y Cultura</t>
  </si>
  <si>
    <t>Reintegros anticipos entidades del sector público municipal</t>
  </si>
  <si>
    <t>DOTAC.ADICIONAL FINANCIACION EE.LL. SALDOS NEGAT. LIQ.2020</t>
  </si>
  <si>
    <t>ECYL.- Prog. Mixto F. y Empleo Jardines IV</t>
  </si>
  <si>
    <t>Subvención CENCYL-Ciudades Verdes</t>
  </si>
  <si>
    <t>TRANSF.UE FDOS.MRR. Mº POLIT.TERR.ÁREA DE PLANIFICACIÓN</t>
  </si>
  <si>
    <t>Aprovechamientos urbanísticos.</t>
  </si>
  <si>
    <t>Mº CIENCIA.- CONTRATACIÓN AGENTES DE INNOVACIÓN</t>
  </si>
  <si>
    <t>Subvención INTERREG: CIRCULAR LABS</t>
  </si>
  <si>
    <t>REINTEGRO EJERCICIOS CERRADOS</t>
  </si>
  <si>
    <t>REINTEGRO EJERCICIOS CERRADOS INDUSTRIAL JALÓN</t>
  </si>
  <si>
    <t>Fdos. MRR Mº Transición Ecológica.- Actuac. Biodiversidad</t>
  </si>
  <si>
    <t>JCYL.- Subvención MOVES II</t>
  </si>
  <si>
    <t>1</t>
  </si>
  <si>
    <t>10</t>
  </si>
  <si>
    <t>100</t>
  </si>
  <si>
    <t>11</t>
  </si>
  <si>
    <t>112</t>
  </si>
  <si>
    <t>113</t>
  </si>
  <si>
    <t>114</t>
  </si>
  <si>
    <t>115</t>
  </si>
  <si>
    <t>116</t>
  </si>
  <si>
    <t>13</t>
  </si>
  <si>
    <t>130</t>
  </si>
  <si>
    <t>2</t>
  </si>
  <si>
    <t>21</t>
  </si>
  <si>
    <t>210</t>
  </si>
  <si>
    <t>22</t>
  </si>
  <si>
    <t>220</t>
  </si>
  <si>
    <t>29</t>
  </si>
  <si>
    <t>290</t>
  </si>
  <si>
    <t>3</t>
  </si>
  <si>
    <t>31</t>
  </si>
  <si>
    <t>319</t>
  </si>
  <si>
    <t>32</t>
  </si>
  <si>
    <t>321</t>
  </si>
  <si>
    <t>323</t>
  </si>
  <si>
    <t>325</t>
  </si>
  <si>
    <t>326</t>
  </si>
  <si>
    <t>329</t>
  </si>
  <si>
    <t>33</t>
  </si>
  <si>
    <t>330</t>
  </si>
  <si>
    <t>331</t>
  </si>
  <si>
    <t>334</t>
  </si>
  <si>
    <t>335</t>
  </si>
  <si>
    <t>338</t>
  </si>
  <si>
    <t>34</t>
  </si>
  <si>
    <t>342</t>
  </si>
  <si>
    <t>344</t>
  </si>
  <si>
    <t>349</t>
  </si>
  <si>
    <t>35</t>
  </si>
  <si>
    <t>351</t>
  </si>
  <si>
    <t>36</t>
  </si>
  <si>
    <t>360</t>
  </si>
  <si>
    <t>38</t>
  </si>
  <si>
    <t>389</t>
  </si>
  <si>
    <t>39</t>
  </si>
  <si>
    <t>391</t>
  </si>
  <si>
    <t>392</t>
  </si>
  <si>
    <t>393</t>
  </si>
  <si>
    <t>396</t>
  </si>
  <si>
    <t>397</t>
  </si>
  <si>
    <t>399</t>
  </si>
  <si>
    <t>4</t>
  </si>
  <si>
    <t>42</t>
  </si>
  <si>
    <t>420</t>
  </si>
  <si>
    <t>45</t>
  </si>
  <si>
    <t>450</t>
  </si>
  <si>
    <t>451</t>
  </si>
  <si>
    <t>49</t>
  </si>
  <si>
    <t>490</t>
  </si>
  <si>
    <t>491</t>
  </si>
  <si>
    <t>497</t>
  </si>
  <si>
    <t>5</t>
  </si>
  <si>
    <t>52</t>
  </si>
  <si>
    <t>520</t>
  </si>
  <si>
    <t>53</t>
  </si>
  <si>
    <t>534</t>
  </si>
  <si>
    <t>54</t>
  </si>
  <si>
    <t>541</t>
  </si>
  <si>
    <t>55</t>
  </si>
  <si>
    <t>550</t>
  </si>
  <si>
    <t>554</t>
  </si>
  <si>
    <t>559</t>
  </si>
  <si>
    <t>59</t>
  </si>
  <si>
    <t>599</t>
  </si>
  <si>
    <t>8</t>
  </si>
  <si>
    <t>82</t>
  </si>
  <si>
    <t>820</t>
  </si>
  <si>
    <t>83</t>
  </si>
  <si>
    <t>830</t>
  </si>
  <si>
    <t>831</t>
  </si>
  <si>
    <t>87</t>
  </si>
  <si>
    <t>870</t>
  </si>
  <si>
    <t>9</t>
  </si>
  <si>
    <t>91</t>
  </si>
  <si>
    <t>913</t>
  </si>
  <si>
    <t>10000</t>
  </si>
  <si>
    <t>11200</t>
  </si>
  <si>
    <t>11300</t>
  </si>
  <si>
    <t>11400</t>
  </si>
  <si>
    <t>11500</t>
  </si>
  <si>
    <t>11600</t>
  </si>
  <si>
    <t>13000</t>
  </si>
  <si>
    <t>21000</t>
  </si>
  <si>
    <t>22000</t>
  </si>
  <si>
    <t>22001</t>
  </si>
  <si>
    <t>22003</t>
  </si>
  <si>
    <t>22004</t>
  </si>
  <si>
    <t>22006</t>
  </si>
  <si>
    <t>29000</t>
  </si>
  <si>
    <t>31900</t>
  </si>
  <si>
    <t>32100</t>
  </si>
  <si>
    <t>32300</t>
  </si>
  <si>
    <t>32500</t>
  </si>
  <si>
    <t>32600</t>
  </si>
  <si>
    <t>32900</t>
  </si>
  <si>
    <t>32901</t>
  </si>
  <si>
    <t>32902</t>
  </si>
  <si>
    <t>32903</t>
  </si>
  <si>
    <t>32904</t>
  </si>
  <si>
    <t>33000</t>
  </si>
  <si>
    <t>33100</t>
  </si>
  <si>
    <t>33400</t>
  </si>
  <si>
    <t>33501</t>
  </si>
  <si>
    <t>33502</t>
  </si>
  <si>
    <t>33503</t>
  </si>
  <si>
    <t>33504</t>
  </si>
  <si>
    <t>33505</t>
  </si>
  <si>
    <t>33800</t>
  </si>
  <si>
    <t>34200</t>
  </si>
  <si>
    <t>34201</t>
  </si>
  <si>
    <t>34400</t>
  </si>
  <si>
    <t>34901</t>
  </si>
  <si>
    <t>34902</t>
  </si>
  <si>
    <t>34903</t>
  </si>
  <si>
    <t>34906</t>
  </si>
  <si>
    <t>34907</t>
  </si>
  <si>
    <t>34908</t>
  </si>
  <si>
    <t>34909</t>
  </si>
  <si>
    <t>35100</t>
  </si>
  <si>
    <t>36001</t>
  </si>
  <si>
    <t>36002</t>
  </si>
  <si>
    <t>36003</t>
  </si>
  <si>
    <t>36005</t>
  </si>
  <si>
    <t>36006</t>
  </si>
  <si>
    <t>38900</t>
  </si>
  <si>
    <t>39101</t>
  </si>
  <si>
    <t>39102</t>
  </si>
  <si>
    <t>39103</t>
  </si>
  <si>
    <t>39105</t>
  </si>
  <si>
    <t>39106</t>
  </si>
  <si>
    <t>39110</t>
  </si>
  <si>
    <t>39120</t>
  </si>
  <si>
    <t>39200</t>
  </si>
  <si>
    <t>39210</t>
  </si>
  <si>
    <t>39211</t>
  </si>
  <si>
    <t>39300</t>
  </si>
  <si>
    <t>39610</t>
  </si>
  <si>
    <t>39700</t>
  </si>
  <si>
    <t>39901</t>
  </si>
  <si>
    <t>39903</t>
  </si>
  <si>
    <t>39904</t>
  </si>
  <si>
    <t>39906</t>
  </si>
  <si>
    <t>39907</t>
  </si>
  <si>
    <t>39910</t>
  </si>
  <si>
    <t>39911</t>
  </si>
  <si>
    <t>42001</t>
  </si>
  <si>
    <t>42005</t>
  </si>
  <si>
    <t>42010</t>
  </si>
  <si>
    <t>42020</t>
  </si>
  <si>
    <t>42090</t>
  </si>
  <si>
    <t>42091</t>
  </si>
  <si>
    <t>42092</t>
  </si>
  <si>
    <t>42093</t>
  </si>
  <si>
    <t>42096</t>
  </si>
  <si>
    <t>42098</t>
  </si>
  <si>
    <t>42099</t>
  </si>
  <si>
    <t>45001</t>
  </si>
  <si>
    <t>45002</t>
  </si>
  <si>
    <t>45004</t>
  </si>
  <si>
    <t>45005</t>
  </si>
  <si>
    <t>45007</t>
  </si>
  <si>
    <t>45008</t>
  </si>
  <si>
    <t>45009</t>
  </si>
  <si>
    <t>45010</t>
  </si>
  <si>
    <t>45011</t>
  </si>
  <si>
    <t>45016</t>
  </si>
  <si>
    <t>45017</t>
  </si>
  <si>
    <t>45018</t>
  </si>
  <si>
    <t>45034</t>
  </si>
  <si>
    <t>45035</t>
  </si>
  <si>
    <t>45060</t>
  </si>
  <si>
    <t>45081</t>
  </si>
  <si>
    <t>45082</t>
  </si>
  <si>
    <t>45084</t>
  </si>
  <si>
    <t>45085</t>
  </si>
  <si>
    <t>45088</t>
  </si>
  <si>
    <t>45091</t>
  </si>
  <si>
    <t>45161</t>
  </si>
  <si>
    <t>45162</t>
  </si>
  <si>
    <t>45164</t>
  </si>
  <si>
    <t>45167</t>
  </si>
  <si>
    <t>45168</t>
  </si>
  <si>
    <t>45169</t>
  </si>
  <si>
    <t>49015</t>
  </si>
  <si>
    <t>49115</t>
  </si>
  <si>
    <t>49117</t>
  </si>
  <si>
    <t>49705</t>
  </si>
  <si>
    <t>49711</t>
  </si>
  <si>
    <t>49712</t>
  </si>
  <si>
    <t>49713</t>
  </si>
  <si>
    <t>49716</t>
  </si>
  <si>
    <t>49717</t>
  </si>
  <si>
    <t>49718</t>
  </si>
  <si>
    <t>49719</t>
  </si>
  <si>
    <t>52000</t>
  </si>
  <si>
    <t>53400</t>
  </si>
  <si>
    <t>54100</t>
  </si>
  <si>
    <t>54101</t>
  </si>
  <si>
    <t>55000</t>
  </si>
  <si>
    <t>55400</t>
  </si>
  <si>
    <t>55900</t>
  </si>
  <si>
    <t>59901</t>
  </si>
  <si>
    <t>SALDO ANTERIOR APLICACIONES CORPORATIVAS CIRA</t>
  </si>
  <si>
    <t>Fdos. MRR. Mº Trabajo y Transición Ecológica. Medio Ambien</t>
  </si>
  <si>
    <t>JCYL.- Subv. Escolariz. Gratuita Centros Infantiles</t>
  </si>
  <si>
    <t>ECYL.- SUBV.JOVEL 2024</t>
  </si>
  <si>
    <t>60301</t>
  </si>
  <si>
    <t>68000</t>
  </si>
  <si>
    <t>68001</t>
  </si>
  <si>
    <t>72001</t>
  </si>
  <si>
    <t>72002</t>
  </si>
  <si>
    <t>72003</t>
  </si>
  <si>
    <t>72008</t>
  </si>
  <si>
    <t>72009</t>
  </si>
  <si>
    <t>72010</t>
  </si>
  <si>
    <t>75020</t>
  </si>
  <si>
    <t>75080</t>
  </si>
  <si>
    <t>75082</t>
  </si>
  <si>
    <t>75084</t>
  </si>
  <si>
    <t>75085</t>
  </si>
  <si>
    <t>75086</t>
  </si>
  <si>
    <t>75089</t>
  </si>
  <si>
    <t>F.C.L. - DESAFÍOS DEMOGRÁFICOS</t>
  </si>
  <si>
    <t>76601</t>
  </si>
  <si>
    <t>Fdos. MRR FEMP Ciudades Saludables VA</t>
  </si>
  <si>
    <t>77000</t>
  </si>
  <si>
    <t>79703</t>
  </si>
  <si>
    <t>82091</t>
  </si>
  <si>
    <t>83000</t>
  </si>
  <si>
    <t>83001</t>
  </si>
  <si>
    <t>83100</t>
  </si>
  <si>
    <t>83101</t>
  </si>
  <si>
    <t>87000</t>
  </si>
  <si>
    <t>87010</t>
  </si>
  <si>
    <t>91300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</si>
</sst>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4" fillId="0" borderId="0"/>
    <xf numFmtId="0" fontId="3" fillId="0" borderId="0"/>
  </cellStyleXfs>
  <cellXfs count="41"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10" fontId="7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10" fontId="6" fillId="0" borderId="2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5" fillId="0" borderId="2" xfId="4" applyNumberFormat="1" applyFont="1" applyBorder="1" applyAlignment="1">
      <alignment horizontal="center" vertical="center"/>
    </xf>
    <xf numFmtId="1" fontId="5" fillId="0" borderId="2" xfId="3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vertical="center"/>
    </xf>
    <xf numFmtId="4" fontId="5" fillId="0" borderId="2" xfId="4" applyNumberFormat="1" applyFont="1" applyBorder="1" applyAlignment="1">
      <alignment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" fontId="14" fillId="0" borderId="2" xfId="0" applyNumberFormat="1" applyFont="1" applyFill="1" applyBorder="1" applyAlignment="1" applyProtection="1">
      <alignment vertical="center"/>
    </xf>
    <xf numFmtId="10" fontId="6" fillId="0" borderId="2" xfId="0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14" fillId="0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vertical="center"/>
    </xf>
    <xf numFmtId="4" fontId="14" fillId="0" borderId="0" xfId="0" applyNumberFormat="1" applyFont="1" applyFill="1" applyBorder="1" applyAlignment="1" applyProtection="1">
      <alignment vertical="center"/>
    </xf>
    <xf numFmtId="10" fontId="6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34" totalsRowCount="1" headerRowDxfId="86" dataDxfId="31" totalsRowDxfId="85">
  <autoFilter ref="A5:P133" xr:uid="{A60A1113-82A7-4289-85EB-35DAA840369A}"/>
  <tableColumns count="16">
    <tableColumn id="1" xr3:uid="{533D4BBA-F87D-4C22-A024-FDEFD9E4E99D}" name="Clasificación" dataDxfId="47" totalsRowDxfId="63"/>
    <tableColumn id="2" xr3:uid="{D49D9EE1-8640-4B2B-910C-1D0B1835F591}" name="CAP" dataDxfId="46" totalsRowDxfId="62"/>
    <tableColumn id="3" xr3:uid="{839C6E35-9EB5-4D63-959B-C2A0C056B229}" name="ART" dataDxfId="45" totalsRowDxfId="61"/>
    <tableColumn id="4" xr3:uid="{1FBC3BFF-99EE-4086-940E-3A6972148935}" name="CONC" dataDxfId="44" totalsRowDxfId="60"/>
    <tableColumn id="5" xr3:uid="{5495FA5E-9FCE-40E2-A3F8-FA3D8E5F7471}" name="DENOMINACIÓN DE LAS APLICACIONES" totalsRowLabel="Total operaciones corrientes" dataDxfId="43" totalsRowDxfId="59"/>
    <tableColumn id="6" xr3:uid="{63A7F712-6CED-4A4D-9B11-CCE2FA81EF7D}" name="Previsiones Iniciales" totalsRowFunction="sum" dataDxfId="42" totalsRowDxfId="58"/>
    <tableColumn id="7" xr3:uid="{CE021C08-5A0C-408A-BD1B-4DA4F4C33638}" name="Modificaciones" totalsRowFunction="sum" dataDxfId="41" totalsRowDxfId="57"/>
    <tableColumn id="8" xr3:uid="{8C7580C6-7A71-49AF-9989-D96D57B42887}" name="Previsiones Definitivas" totalsRowFunction="sum" dataDxfId="40" totalsRowDxfId="56"/>
    <tableColumn id="9" xr3:uid="{D9BA111B-D6B1-4187-9678-E1C30F80D906}" name="Derechos Netos" totalsRowFunction="sum" dataDxfId="39" totalsRowDxfId="55"/>
    <tableColumn id="10" xr3:uid="{08805E65-C312-4F8F-8D6F-6D0C987EC939}" name="Der/Prev" totalsRowFunction="custom" dataDxfId="38" totalsRowDxfId="54">
      <calculatedColumnFormula>IF(H6=0," ",I6/H6)</calculatedColumnFormula>
      <totalsRowFormula>IF(H134=0," ",I134/H134)</totalsRowFormula>
    </tableColumn>
    <tableColumn id="11" xr3:uid="{8FE61775-9D68-481B-A91E-20B08AD4E9BA}" name="Ingresos Realizados" totalsRowFunction="sum" dataDxfId="37" totalsRowDxfId="53"/>
    <tableColumn id="12" xr3:uid="{C1BFFBE1-5A54-4D5E-899C-A9413041172B}" name="Devoluciones de Ingresos" totalsRowFunction="sum" dataDxfId="36" totalsRowDxfId="52"/>
    <tableColumn id="13" xr3:uid="{86F9B0C3-A69B-4BDA-AD31-9703024031D7}" name="Recaudación Líquida" totalsRowFunction="sum" dataDxfId="35" totalsRowDxfId="51"/>
    <tableColumn id="14" xr3:uid="{EEE28C11-D1F6-43B7-9154-7FC26154F58D}" name="Rec/Der" totalsRowFunction="custom" dataDxfId="34" totalsRowDxfId="50">
      <calculatedColumnFormula>IF(I6=0," ",M6/I6)</calculatedColumnFormula>
      <totalsRowFormula>IF(I134=0," ",M134/I134)</totalsRowFormula>
    </tableColumn>
    <tableColumn id="15" xr3:uid="{AF028DFD-C3FB-47B4-81EC-F0401444C134}" name="Pendiente de Cobro" totalsRowFunction="sum" dataDxfId="33" totalsRowDxfId="49"/>
    <tableColumn id="16" xr3:uid="{62EE7666-D337-4531-8247-3F0FC2F3F412}" name="Estado de Ejecución" totalsRowFunction="sum" dataDxfId="32" totalsRowDxfId="48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36:P156" totalsRowShown="0" headerRowDxfId="84" dataDxfId="83">
  <autoFilter ref="A136:P156" xr:uid="{2865CE11-BD44-47BD-A8A3-83B64CDEBFBF}"/>
  <tableColumns count="16">
    <tableColumn id="1" xr3:uid="{29DAAA2D-C31F-4597-80E4-50B0B3B4AFFF}" name="Clasificación" dataDxfId="82"/>
    <tableColumn id="2" xr3:uid="{FABB8E7D-3E86-42E2-A8DA-94A68A4A3AE0}" name="CAP" dataDxfId="81"/>
    <tableColumn id="3" xr3:uid="{4D6FBC4A-EA63-44C6-9F5D-9467E2800191}" name="ART" dataDxfId="80"/>
    <tableColumn id="4" xr3:uid="{262CF6AB-68B9-456C-A92B-DB4EE3D69F1B}" name="CONC" dataDxfId="79"/>
    <tableColumn id="5" xr3:uid="{7B4794F4-BC96-492A-99DF-62527595D7B6}" name="DENOMINACIÓN DE LAS APLICACIONES" dataDxfId="78"/>
    <tableColumn id="6" xr3:uid="{B6C402F0-707A-4B2D-9DAF-0FD7204397F1}" name="Previsiones Iniciales" dataDxfId="77"/>
    <tableColumn id="7" xr3:uid="{C3FDD568-7CCF-46E4-BD1E-85E6788125C4}" name="Modificaciones" dataDxfId="76"/>
    <tableColumn id="8" xr3:uid="{083E5272-8B70-4254-A0CD-FBF8022998F2}" name="Previsiones Definitivas" dataDxfId="75"/>
    <tableColumn id="9" xr3:uid="{47486E6E-6790-4581-AFD6-2937B4D0891C}" name="Derechos Netos" dataDxfId="74"/>
    <tableColumn id="10" xr3:uid="{C8280D50-5786-4185-A2D5-FF66025BFA32}" name="Der/Prev" dataDxfId="73"/>
    <tableColumn id="11" xr3:uid="{CF39D473-0B06-42AE-AF94-0B7C186E6FF5}" name="Ingresos Realizados" dataDxfId="72"/>
    <tableColumn id="12" xr3:uid="{3D57773D-0D69-4260-84E5-6E7DD111F272}" name="Devoluciones de Ingresos" dataDxfId="71"/>
    <tableColumn id="13" xr3:uid="{D0278385-D45D-410D-96FE-FFCB82D5C6F5}" name="Recaudación Líquida" dataDxfId="70"/>
    <tableColumn id="14" xr3:uid="{6FF38373-605D-4D5F-969B-9E2038DFF3FF}" name="Rec/Der" dataDxfId="69">
      <calculatedColumnFormula>IF(I137=0," ",M137/I137)</calculatedColumnFormula>
    </tableColumn>
    <tableColumn id="15" xr3:uid="{A1FCD7AC-8F3F-4B72-8A41-0CED39A2E4B0}" name="Pendiente de Cobro" dataDxfId="68"/>
    <tableColumn id="16" xr3:uid="{7B99BCAE-AE5C-4795-8E0C-67B409962680}" name="Estado de Ejecución" dataDxfId="6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58:P167" totalsRowCount="1" headerRowDxfId="66" dataDxfId="0" totalsRowDxfId="64" tableBorderDxfId="65">
  <autoFilter ref="B158:P166" xr:uid="{E0730090-3C63-47CF-A111-D1EF4DA84425}"/>
  <tableColumns count="15">
    <tableColumn id="1" xr3:uid="{EFCB9640-ED57-42F6-9A61-567D82DCA159}" name="CAP" dataDxfId="15" totalsRowDxfId="30"/>
    <tableColumn id="2" xr3:uid="{2BAEC3EF-6B37-4EE7-B493-5DC046EA5EDA}" name="ART" dataDxfId="14" totalsRowDxfId="29"/>
    <tableColumn id="3" xr3:uid="{6A706D24-870F-46BC-963C-F51A5FE67E0E}" name="CONC" dataDxfId="13" totalsRowDxfId="28"/>
    <tableColumn id="4" xr3:uid="{1F23D8B3-1138-40CE-AF3A-F340D0885BA2}" name="DENOMINACIÓN DE LAS APLICACIONES" totalsRowLabel="Total operaciones financieras" dataDxfId="12" totalsRowDxfId="27"/>
    <tableColumn id="5" xr3:uid="{BBCCC4E2-A674-4352-9AF3-E6C6DDCA73EA}" name="Previsiones Iniciales" totalsRowFunction="sum" dataDxfId="11" totalsRowDxfId="26"/>
    <tableColumn id="6" xr3:uid="{816B2CA6-EB14-4B7C-83E9-9750DC5FAE4C}" name="Modificaciones" totalsRowFunction="sum" dataDxfId="10" totalsRowDxfId="25"/>
    <tableColumn id="7" xr3:uid="{E20032D6-116F-4A64-9515-A3FA95758FC9}" name="Previsiones Definitivas" totalsRowFunction="sum" dataDxfId="9" totalsRowDxfId="24"/>
    <tableColumn id="8" xr3:uid="{8B3D75EC-CECC-4A22-BC7F-FF325637C757}" name="Derechos Netos" totalsRowFunction="sum" dataDxfId="8" totalsRowDxfId="23"/>
    <tableColumn id="9" xr3:uid="{E1047538-A14C-4C96-AD98-8111F298F422}" name="Der/Prev" totalsRowFunction="custom" dataDxfId="7" totalsRowDxfId="22">
      <calculatedColumnFormula>IF(H159=0," ",I159/H159)</calculatedColumnFormula>
      <totalsRowFormula>IF(H167=0," ",I167/H167)</totalsRowFormula>
    </tableColumn>
    <tableColumn id="10" xr3:uid="{2378E4EA-AFC4-4F92-A2CA-E466858FF4D6}" name="Ingresos Realizados" totalsRowFunction="sum" dataDxfId="6" totalsRowDxfId="21"/>
    <tableColumn id="11" xr3:uid="{43E2EB50-863A-4E0F-9027-82747188A7B2}" name="Devoluciones de Ingresos" totalsRowFunction="sum" dataDxfId="5" totalsRowDxfId="20"/>
    <tableColumn id="12" xr3:uid="{8BA4AE92-C80E-4048-AD14-3135AB035451}" name="Recaudación Líquida" totalsRowFunction="sum" dataDxfId="4" totalsRowDxfId="19"/>
    <tableColumn id="13" xr3:uid="{D9E4425A-3915-4D46-8362-2E43A1522B9B}" name="Rec/Der" totalsRowFunction="custom" dataDxfId="3" totalsRowDxfId="18">
      <calculatedColumnFormula>IF(I159=0," ",M159/I159)</calculatedColumnFormula>
      <totalsRowFormula>IF(I167=0," ",M167/I167)</totalsRowFormula>
    </tableColumn>
    <tableColumn id="14" xr3:uid="{5C1A7FD8-19C9-4834-8D9B-22CAA83C2DA2}" name="Pendiente de Cobro" totalsRowFunction="sum" dataDxfId="2" totalsRowDxfId="17"/>
    <tableColumn id="15" xr3:uid="{F642A6C6-E62C-4138-A6FC-79804EA91398}" name="Estado de Ejecución" totalsRowFunction="sum" dataDxfId="1" totalsRowDxfId="16">
      <calculatedColumnFormula>I159-H159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69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45412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 t="s">
        <v>255</v>
      </c>
      <c r="B6" s="12" t="s">
        <v>171</v>
      </c>
      <c r="C6" s="12" t="s">
        <v>172</v>
      </c>
      <c r="D6" s="27" t="s">
        <v>173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3418155.52</v>
      </c>
      <c r="J6" s="7">
        <f>IF(H6=0," ",I6/H6)</f>
        <v>0.31792022295443273</v>
      </c>
      <c r="K6" s="29">
        <v>3426871.84</v>
      </c>
      <c r="L6" s="29">
        <v>13074.48</v>
      </c>
      <c r="M6" s="29">
        <v>3413797.36</v>
      </c>
      <c r="N6" s="7">
        <f>IF(I6=0," ",M6/I6)</f>
        <v>0.9987249965735906</v>
      </c>
      <c r="O6" s="29">
        <v>4358.16</v>
      </c>
      <c r="P6" s="8">
        <f>I6-H6</f>
        <v>-7333458.4800000004</v>
      </c>
    </row>
    <row r="7" spans="1:16" x14ac:dyDescent="0.2">
      <c r="A7" s="26" t="s">
        <v>256</v>
      </c>
      <c r="B7" s="12" t="s">
        <v>171</v>
      </c>
      <c r="C7" s="12" t="s">
        <v>174</v>
      </c>
      <c r="D7" s="27" t="s">
        <v>175</v>
      </c>
      <c r="E7" s="28" t="s">
        <v>24</v>
      </c>
      <c r="F7" s="29">
        <v>300000</v>
      </c>
      <c r="G7" s="29">
        <v>0</v>
      </c>
      <c r="H7" s="29">
        <v>300000</v>
      </c>
      <c r="I7" s="29">
        <v>299443.77</v>
      </c>
      <c r="J7" s="7">
        <f t="shared" ref="J7:J70" si="0">IF(H7=0," ",I7/H7)</f>
        <v>0.99814590000000003</v>
      </c>
      <c r="K7" s="29">
        <v>0</v>
      </c>
      <c r="L7" s="29">
        <v>67.790000000000006</v>
      </c>
      <c r="M7" s="29">
        <v>-67.790000000000006</v>
      </c>
      <c r="N7" s="7">
        <f t="shared" ref="N7:N70" si="1">IF(I7=0," ",M7/I7)</f>
        <v>-2.2638640970890796E-4</v>
      </c>
      <c r="O7" s="29">
        <v>299511.56</v>
      </c>
      <c r="P7" s="8">
        <f t="shared" ref="P7:P70" si="2">I7-H7</f>
        <v>-556.22999999998137</v>
      </c>
    </row>
    <row r="8" spans="1:16" x14ac:dyDescent="0.2">
      <c r="A8" s="26" t="s">
        <v>257</v>
      </c>
      <c r="B8" s="12" t="s">
        <v>171</v>
      </c>
      <c r="C8" s="12" t="s">
        <v>174</v>
      </c>
      <c r="D8" s="27" t="s">
        <v>176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73453517.319999993</v>
      </c>
      <c r="J8" s="7">
        <f t="shared" si="0"/>
        <v>0.97938023093333326</v>
      </c>
      <c r="K8" s="29">
        <v>1417.09</v>
      </c>
      <c r="L8" s="29">
        <v>58291.01</v>
      </c>
      <c r="M8" s="29">
        <v>-56873.919999999998</v>
      </c>
      <c r="N8" s="7">
        <f t="shared" si="1"/>
        <v>-7.7428450093450208E-4</v>
      </c>
      <c r="O8" s="29">
        <v>73510391.239999995</v>
      </c>
      <c r="P8" s="8">
        <f t="shared" si="2"/>
        <v>-1546482.6800000072</v>
      </c>
    </row>
    <row r="9" spans="1:16" x14ac:dyDescent="0.2">
      <c r="A9" s="26" t="s">
        <v>177</v>
      </c>
      <c r="B9" s="12" t="s">
        <v>171</v>
      </c>
      <c r="C9" s="12" t="s">
        <v>174</v>
      </c>
      <c r="D9" s="27" t="s">
        <v>177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0"/>
        <v>0</v>
      </c>
      <c r="K9" s="29">
        <v>0</v>
      </c>
      <c r="L9" s="29">
        <v>0</v>
      </c>
      <c r="M9" s="29">
        <v>0</v>
      </c>
      <c r="N9" s="7" t="str">
        <f t="shared" si="1"/>
        <v xml:space="preserve"> </v>
      </c>
      <c r="O9" s="29">
        <v>0</v>
      </c>
      <c r="P9" s="8">
        <f t="shared" si="2"/>
        <v>-23000</v>
      </c>
    </row>
    <row r="10" spans="1:16" x14ac:dyDescent="0.2">
      <c r="A10" s="26" t="s">
        <v>258</v>
      </c>
      <c r="B10" s="12" t="s">
        <v>171</v>
      </c>
      <c r="C10" s="12" t="s">
        <v>174</v>
      </c>
      <c r="D10" s="27" t="s">
        <v>178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0"/>
        <v xml:space="preserve"> </v>
      </c>
      <c r="K10" s="29">
        <v>0</v>
      </c>
      <c r="L10" s="29">
        <v>0</v>
      </c>
      <c r="M10" s="29">
        <v>0</v>
      </c>
      <c r="N10" s="7">
        <f t="shared" si="1"/>
        <v>0</v>
      </c>
      <c r="O10" s="29">
        <v>23227.360000000001</v>
      </c>
      <c r="P10" s="8">
        <f t="shared" si="2"/>
        <v>23227.360000000001</v>
      </c>
    </row>
    <row r="11" spans="1:16" x14ac:dyDescent="0.2">
      <c r="A11" s="26" t="s">
        <v>259</v>
      </c>
      <c r="B11" s="12" t="s">
        <v>171</v>
      </c>
      <c r="C11" s="12" t="s">
        <v>174</v>
      </c>
      <c r="D11" s="27" t="s">
        <v>179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15208675.550000001</v>
      </c>
      <c r="J11" s="7">
        <f t="shared" si="0"/>
        <v>0.95054222187500004</v>
      </c>
      <c r="K11" s="29">
        <v>72853.64</v>
      </c>
      <c r="L11" s="29">
        <v>6015.99</v>
      </c>
      <c r="M11" s="29">
        <v>66837.649999999994</v>
      </c>
      <c r="N11" s="7">
        <f t="shared" si="1"/>
        <v>4.3947054942598202E-3</v>
      </c>
      <c r="O11" s="29">
        <v>15141837.9</v>
      </c>
      <c r="P11" s="8">
        <f t="shared" si="2"/>
        <v>-791324.44999999925</v>
      </c>
    </row>
    <row r="12" spans="1:16" x14ac:dyDescent="0.2">
      <c r="A12" s="26" t="s">
        <v>260</v>
      </c>
      <c r="B12" s="12" t="s">
        <v>171</v>
      </c>
      <c r="C12" s="12" t="s">
        <v>180</v>
      </c>
      <c r="D12" s="27" t="s">
        <v>181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794117.35</v>
      </c>
      <c r="J12" s="7">
        <f t="shared" si="0"/>
        <v>0.1221719</v>
      </c>
      <c r="K12" s="29">
        <v>826066.76</v>
      </c>
      <c r="L12" s="29">
        <v>77558.710000000006</v>
      </c>
      <c r="M12" s="29">
        <v>748508.05</v>
      </c>
      <c r="N12" s="7">
        <f t="shared" si="1"/>
        <v>0.94256604518211329</v>
      </c>
      <c r="O12" s="29">
        <v>45609.3</v>
      </c>
      <c r="P12" s="8">
        <f t="shared" si="2"/>
        <v>-5705882.6500000004</v>
      </c>
    </row>
    <row r="13" spans="1:16" x14ac:dyDescent="0.2">
      <c r="A13" s="26" t="s">
        <v>261</v>
      </c>
      <c r="B13" s="12" t="s">
        <v>182</v>
      </c>
      <c r="C13" s="12" t="s">
        <v>183</v>
      </c>
      <c r="D13" s="27" t="s">
        <v>184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1392490.71</v>
      </c>
      <c r="J13" s="7">
        <f t="shared" si="0"/>
        <v>0.11750976455696202</v>
      </c>
      <c r="K13" s="29">
        <v>1426761.07</v>
      </c>
      <c r="L13" s="29">
        <v>225591.06</v>
      </c>
      <c r="M13" s="29">
        <v>1201170.01</v>
      </c>
      <c r="N13" s="7">
        <f t="shared" si="1"/>
        <v>0.8626054029473561</v>
      </c>
      <c r="O13" s="29">
        <v>191320.7</v>
      </c>
      <c r="P13" s="8">
        <f t="shared" si="2"/>
        <v>-10457509.289999999</v>
      </c>
    </row>
    <row r="14" spans="1:16" x14ac:dyDescent="0.2">
      <c r="A14" s="26" t="s">
        <v>262</v>
      </c>
      <c r="B14" s="12" t="s">
        <v>182</v>
      </c>
      <c r="C14" s="12" t="s">
        <v>185</v>
      </c>
      <c r="D14" s="27" t="s">
        <v>186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2115846.06</v>
      </c>
      <c r="J14" s="7">
        <f t="shared" si="0"/>
        <v>0.30490212808636796</v>
      </c>
      <c r="K14" s="29">
        <v>2140718.98</v>
      </c>
      <c r="L14" s="29">
        <v>37309.379999999997</v>
      </c>
      <c r="M14" s="29">
        <v>2103409.6</v>
      </c>
      <c r="N14" s="7">
        <f t="shared" si="1"/>
        <v>0.99412222834396569</v>
      </c>
      <c r="O14" s="29">
        <v>12436.46</v>
      </c>
      <c r="P14" s="8">
        <f t="shared" si="2"/>
        <v>-4823580.9399999995</v>
      </c>
    </row>
    <row r="15" spans="1:16" x14ac:dyDescent="0.2">
      <c r="A15" s="26" t="s">
        <v>263</v>
      </c>
      <c r="B15" s="12" t="s">
        <v>182</v>
      </c>
      <c r="C15" s="12" t="s">
        <v>185</v>
      </c>
      <c r="D15" s="27" t="s">
        <v>186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35752.629999999997</v>
      </c>
      <c r="J15" s="7">
        <f t="shared" si="0"/>
        <v>0.32565449461229468</v>
      </c>
      <c r="K15" s="29">
        <v>35831.65</v>
      </c>
      <c r="L15" s="29">
        <v>118.53</v>
      </c>
      <c r="M15" s="29">
        <v>35713.120000000003</v>
      </c>
      <c r="N15" s="7">
        <f t="shared" si="1"/>
        <v>0.99889490647261492</v>
      </c>
      <c r="O15" s="29">
        <v>39.51</v>
      </c>
      <c r="P15" s="8">
        <f t="shared" si="2"/>
        <v>-74034.37</v>
      </c>
    </row>
    <row r="16" spans="1:16" x14ac:dyDescent="0.2">
      <c r="A16" s="26" t="s">
        <v>264</v>
      </c>
      <c r="B16" s="12" t="s">
        <v>182</v>
      </c>
      <c r="C16" s="12" t="s">
        <v>185</v>
      </c>
      <c r="D16" s="27" t="s">
        <v>186</v>
      </c>
      <c r="E16" s="28" t="s">
        <v>32</v>
      </c>
      <c r="F16" s="29">
        <v>32949</v>
      </c>
      <c r="G16" s="29">
        <v>0</v>
      </c>
      <c r="H16" s="29">
        <v>32949</v>
      </c>
      <c r="I16" s="29">
        <v>10906.92</v>
      </c>
      <c r="J16" s="7">
        <f t="shared" si="0"/>
        <v>0.33102431029773288</v>
      </c>
      <c r="K16" s="29">
        <v>10906.92</v>
      </c>
      <c r="L16" s="29">
        <v>0</v>
      </c>
      <c r="M16" s="29">
        <v>10906.92</v>
      </c>
      <c r="N16" s="7">
        <f t="shared" si="1"/>
        <v>1</v>
      </c>
      <c r="O16" s="29">
        <v>0</v>
      </c>
      <c r="P16" s="8">
        <f t="shared" si="2"/>
        <v>-22042.080000000002</v>
      </c>
    </row>
    <row r="17" spans="1:16" x14ac:dyDescent="0.2">
      <c r="A17" s="26" t="s">
        <v>265</v>
      </c>
      <c r="B17" s="12" t="s">
        <v>182</v>
      </c>
      <c r="C17" s="12" t="s">
        <v>185</v>
      </c>
      <c r="D17" s="27" t="s">
        <v>186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184979.96</v>
      </c>
      <c r="J17" s="7">
        <f t="shared" si="0"/>
        <v>0.3085349341081457</v>
      </c>
      <c r="K17" s="29">
        <v>184979.96</v>
      </c>
      <c r="L17" s="29">
        <v>0</v>
      </c>
      <c r="M17" s="29">
        <v>184979.96</v>
      </c>
      <c r="N17" s="7">
        <f t="shared" si="1"/>
        <v>1</v>
      </c>
      <c r="O17" s="29">
        <v>0</v>
      </c>
      <c r="P17" s="8">
        <f t="shared" si="2"/>
        <v>-414563.04000000004</v>
      </c>
    </row>
    <row r="18" spans="1:16" x14ac:dyDescent="0.2">
      <c r="A18" s="26" t="s">
        <v>266</v>
      </c>
      <c r="B18" s="12" t="s">
        <v>182</v>
      </c>
      <c r="C18" s="12" t="s">
        <v>185</v>
      </c>
      <c r="D18" s="27" t="s">
        <v>186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531903.43999999994</v>
      </c>
      <c r="J18" s="7">
        <f t="shared" si="0"/>
        <v>0.32040098354454316</v>
      </c>
      <c r="K18" s="29">
        <v>532437.68000000005</v>
      </c>
      <c r="L18" s="29">
        <v>801.36</v>
      </c>
      <c r="M18" s="29">
        <v>531636.31999999995</v>
      </c>
      <c r="N18" s="7">
        <f t="shared" si="1"/>
        <v>0.99949780358630502</v>
      </c>
      <c r="O18" s="29">
        <v>267.12</v>
      </c>
      <c r="P18" s="8">
        <f t="shared" si="2"/>
        <v>-1128214.56</v>
      </c>
    </row>
    <row r="19" spans="1:16" x14ac:dyDescent="0.2">
      <c r="A19" s="26" t="s">
        <v>267</v>
      </c>
      <c r="B19" s="12" t="s">
        <v>182</v>
      </c>
      <c r="C19" s="12" t="s">
        <v>187</v>
      </c>
      <c r="D19" s="27" t="s">
        <v>188</v>
      </c>
      <c r="E19" s="28" t="s">
        <v>35</v>
      </c>
      <c r="F19" s="29">
        <v>2691</v>
      </c>
      <c r="G19" s="29">
        <v>0</v>
      </c>
      <c r="H19" s="29">
        <v>2691</v>
      </c>
      <c r="I19" s="29">
        <v>856.4</v>
      </c>
      <c r="J19" s="7">
        <f t="shared" si="0"/>
        <v>0.31824600520252694</v>
      </c>
      <c r="K19" s="29">
        <v>856.4</v>
      </c>
      <c r="L19" s="29">
        <v>0</v>
      </c>
      <c r="M19" s="29">
        <v>856.4</v>
      </c>
      <c r="N19" s="7">
        <f t="shared" si="1"/>
        <v>1</v>
      </c>
      <c r="O19" s="29">
        <v>0</v>
      </c>
      <c r="P19" s="8">
        <f t="shared" si="2"/>
        <v>-1834.6</v>
      </c>
    </row>
    <row r="20" spans="1:16" x14ac:dyDescent="0.2">
      <c r="A20" s="26" t="s">
        <v>268</v>
      </c>
      <c r="B20" s="12" t="s">
        <v>189</v>
      </c>
      <c r="C20" s="12" t="s">
        <v>190</v>
      </c>
      <c r="D20" s="27" t="s">
        <v>191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709512.01</v>
      </c>
      <c r="J20" s="7">
        <f t="shared" si="0"/>
        <v>6.4501091818181824E-2</v>
      </c>
      <c r="K20" s="29">
        <v>980051.48</v>
      </c>
      <c r="L20" s="29">
        <v>673057.61</v>
      </c>
      <c r="M20" s="29">
        <v>306993.87</v>
      </c>
      <c r="N20" s="7">
        <f t="shared" si="1"/>
        <v>0.43268311976847296</v>
      </c>
      <c r="O20" s="29">
        <v>402518.14</v>
      </c>
      <c r="P20" s="8">
        <f t="shared" si="2"/>
        <v>-10290487.99</v>
      </c>
    </row>
    <row r="21" spans="1:16" x14ac:dyDescent="0.2">
      <c r="A21" s="26" t="s">
        <v>269</v>
      </c>
      <c r="B21" s="12" t="s">
        <v>189</v>
      </c>
      <c r="C21" s="12" t="s">
        <v>192</v>
      </c>
      <c r="D21" s="27" t="s">
        <v>193</v>
      </c>
      <c r="E21" s="28" t="s">
        <v>37</v>
      </c>
      <c r="F21" s="29">
        <v>40000</v>
      </c>
      <c r="G21" s="29">
        <v>0</v>
      </c>
      <c r="H21" s="29">
        <v>40000</v>
      </c>
      <c r="I21" s="29">
        <v>1075.3</v>
      </c>
      <c r="J21" s="7">
        <f t="shared" si="0"/>
        <v>2.68825E-2</v>
      </c>
      <c r="K21" s="29">
        <v>0</v>
      </c>
      <c r="L21" s="29">
        <v>0</v>
      </c>
      <c r="M21" s="29">
        <v>0</v>
      </c>
      <c r="N21" s="7">
        <f t="shared" si="1"/>
        <v>0</v>
      </c>
      <c r="O21" s="29">
        <v>1075.3</v>
      </c>
      <c r="P21" s="8">
        <f t="shared" si="2"/>
        <v>-38924.699999999997</v>
      </c>
    </row>
    <row r="22" spans="1:16" x14ac:dyDescent="0.2">
      <c r="A22" s="26" t="s">
        <v>270</v>
      </c>
      <c r="B22" s="12" t="s">
        <v>189</v>
      </c>
      <c r="C22" s="12" t="s">
        <v>192</v>
      </c>
      <c r="D22" s="27" t="s">
        <v>194</v>
      </c>
      <c r="E22" s="28" t="s">
        <v>38</v>
      </c>
      <c r="F22" s="29">
        <v>4500000</v>
      </c>
      <c r="G22" s="29">
        <v>0</v>
      </c>
      <c r="H22" s="29">
        <v>4500000</v>
      </c>
      <c r="I22" s="29">
        <v>886930.92</v>
      </c>
      <c r="J22" s="7">
        <f t="shared" si="0"/>
        <v>0.19709576000000001</v>
      </c>
      <c r="K22" s="29">
        <v>878252.64</v>
      </c>
      <c r="L22" s="29">
        <v>38327.379999999997</v>
      </c>
      <c r="M22" s="29">
        <v>839925.26</v>
      </c>
      <c r="N22" s="7">
        <f t="shared" si="1"/>
        <v>0.94700189277424218</v>
      </c>
      <c r="O22" s="29">
        <v>47005.66</v>
      </c>
      <c r="P22" s="8">
        <f t="shared" si="2"/>
        <v>-3613069.08</v>
      </c>
    </row>
    <row r="23" spans="1:16" x14ac:dyDescent="0.2">
      <c r="A23" s="26" t="s">
        <v>271</v>
      </c>
      <c r="B23" s="12" t="s">
        <v>189</v>
      </c>
      <c r="C23" s="12" t="s">
        <v>192</v>
      </c>
      <c r="D23" s="27" t="s">
        <v>195</v>
      </c>
      <c r="E23" s="28" t="s">
        <v>39</v>
      </c>
      <c r="F23" s="29">
        <v>200000</v>
      </c>
      <c r="G23" s="29">
        <v>0</v>
      </c>
      <c r="H23" s="29">
        <v>200000</v>
      </c>
      <c r="I23" s="29">
        <v>25758.240000000002</v>
      </c>
      <c r="J23" s="7">
        <f t="shared" si="0"/>
        <v>0.12879119999999999</v>
      </c>
      <c r="K23" s="29">
        <v>27463.06</v>
      </c>
      <c r="L23" s="29">
        <v>2051.4499999999998</v>
      </c>
      <c r="M23" s="29">
        <v>25411.61</v>
      </c>
      <c r="N23" s="7">
        <f t="shared" si="1"/>
        <v>0.9865429470336482</v>
      </c>
      <c r="O23" s="29">
        <v>346.63</v>
      </c>
      <c r="P23" s="8">
        <f t="shared" si="2"/>
        <v>-174241.76</v>
      </c>
    </row>
    <row r="24" spans="1:16" x14ac:dyDescent="0.2">
      <c r="A24" s="26" t="s">
        <v>272</v>
      </c>
      <c r="B24" s="12" t="s">
        <v>189</v>
      </c>
      <c r="C24" s="12" t="s">
        <v>192</v>
      </c>
      <c r="D24" s="27" t="s">
        <v>196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36875.42</v>
      </c>
      <c r="J24" s="7">
        <f t="shared" si="0"/>
        <v>0.18437709999999999</v>
      </c>
      <c r="K24" s="29">
        <v>29958.560000000001</v>
      </c>
      <c r="L24" s="29">
        <v>1207.78</v>
      </c>
      <c r="M24" s="29">
        <v>28750.78</v>
      </c>
      <c r="N24" s="7">
        <f t="shared" si="1"/>
        <v>0.77967328914491008</v>
      </c>
      <c r="O24" s="29">
        <v>8124.64</v>
      </c>
      <c r="P24" s="8">
        <f t="shared" si="2"/>
        <v>-163124.58000000002</v>
      </c>
    </row>
    <row r="25" spans="1:16" x14ac:dyDescent="0.2">
      <c r="A25" s="26" t="s">
        <v>273</v>
      </c>
      <c r="B25" s="12" t="s">
        <v>189</v>
      </c>
      <c r="C25" s="12" t="s">
        <v>192</v>
      </c>
      <c r="D25" s="27" t="s">
        <v>197</v>
      </c>
      <c r="E25" s="28" t="s">
        <v>41</v>
      </c>
      <c r="F25" s="29">
        <v>300000</v>
      </c>
      <c r="G25" s="29">
        <v>0</v>
      </c>
      <c r="H25" s="29">
        <v>300000</v>
      </c>
      <c r="I25" s="29">
        <v>65730.710000000006</v>
      </c>
      <c r="J25" s="7">
        <f t="shared" si="0"/>
        <v>0.21910236666666669</v>
      </c>
      <c r="K25" s="29">
        <v>66015.48</v>
      </c>
      <c r="L25" s="29">
        <v>581.29</v>
      </c>
      <c r="M25" s="29">
        <v>65434.19</v>
      </c>
      <c r="N25" s="7">
        <f t="shared" si="1"/>
        <v>0.99548886661957547</v>
      </c>
      <c r="O25" s="29">
        <v>296.52</v>
      </c>
      <c r="P25" s="8">
        <f t="shared" si="2"/>
        <v>-234269.28999999998</v>
      </c>
    </row>
    <row r="26" spans="1:16" x14ac:dyDescent="0.2">
      <c r="A26" s="26" t="s">
        <v>274</v>
      </c>
      <c r="B26" s="12" t="s">
        <v>189</v>
      </c>
      <c r="C26" s="12" t="s">
        <v>192</v>
      </c>
      <c r="D26" s="27" t="s">
        <v>197</v>
      </c>
      <c r="E26" s="28" t="s">
        <v>42</v>
      </c>
      <c r="F26" s="29">
        <v>12000</v>
      </c>
      <c r="G26" s="29">
        <v>0</v>
      </c>
      <c r="H26" s="29">
        <v>12000</v>
      </c>
      <c r="I26" s="29">
        <v>3316.95</v>
      </c>
      <c r="J26" s="7">
        <f t="shared" si="0"/>
        <v>0.27641250000000001</v>
      </c>
      <c r="K26" s="29">
        <v>3316.95</v>
      </c>
      <c r="L26" s="29">
        <v>0</v>
      </c>
      <c r="M26" s="29">
        <v>3316.95</v>
      </c>
      <c r="N26" s="7">
        <f t="shared" si="1"/>
        <v>1</v>
      </c>
      <c r="O26" s="29">
        <v>0</v>
      </c>
      <c r="P26" s="8">
        <f t="shared" si="2"/>
        <v>-8683.0499999999993</v>
      </c>
    </row>
    <row r="27" spans="1:16" x14ac:dyDescent="0.2">
      <c r="A27" s="26" t="s">
        <v>275</v>
      </c>
      <c r="B27" s="12" t="s">
        <v>189</v>
      </c>
      <c r="C27" s="12" t="s">
        <v>192</v>
      </c>
      <c r="D27" s="27" t="s">
        <v>197</v>
      </c>
      <c r="E27" s="28" t="s">
        <v>43</v>
      </c>
      <c r="F27" s="29">
        <v>240000</v>
      </c>
      <c r="G27" s="29">
        <v>0</v>
      </c>
      <c r="H27" s="29">
        <v>240000</v>
      </c>
      <c r="I27" s="29">
        <v>57247.66</v>
      </c>
      <c r="J27" s="7">
        <f t="shared" si="0"/>
        <v>0.23853191666666668</v>
      </c>
      <c r="K27" s="29">
        <v>35917.660000000003</v>
      </c>
      <c r="L27" s="29">
        <v>0</v>
      </c>
      <c r="M27" s="29">
        <v>35917.660000000003</v>
      </c>
      <c r="N27" s="7">
        <f t="shared" si="1"/>
        <v>0.62740835171254161</v>
      </c>
      <c r="O27" s="29">
        <v>21330</v>
      </c>
      <c r="P27" s="8">
        <f t="shared" si="2"/>
        <v>-182752.34</v>
      </c>
    </row>
    <row r="28" spans="1:16" x14ac:dyDescent="0.2">
      <c r="A28" s="26" t="s">
        <v>276</v>
      </c>
      <c r="B28" s="12" t="s">
        <v>189</v>
      </c>
      <c r="C28" s="12" t="s">
        <v>192</v>
      </c>
      <c r="D28" s="27" t="s">
        <v>197</v>
      </c>
      <c r="E28" s="28" t="s">
        <v>44</v>
      </c>
      <c r="F28" s="29">
        <v>40000</v>
      </c>
      <c r="G28" s="29">
        <v>0</v>
      </c>
      <c r="H28" s="29">
        <v>40000</v>
      </c>
      <c r="I28" s="29">
        <v>7721.91</v>
      </c>
      <c r="J28" s="7">
        <f t="shared" si="0"/>
        <v>0.19304774999999999</v>
      </c>
      <c r="K28" s="29">
        <v>2923.83</v>
      </c>
      <c r="L28" s="29">
        <v>0</v>
      </c>
      <c r="M28" s="29">
        <v>2923.83</v>
      </c>
      <c r="N28" s="7">
        <f t="shared" si="1"/>
        <v>0.37864077669902912</v>
      </c>
      <c r="O28" s="29">
        <v>4798.08</v>
      </c>
      <c r="P28" s="8">
        <f t="shared" si="2"/>
        <v>-32278.09</v>
      </c>
    </row>
    <row r="29" spans="1:16" x14ac:dyDescent="0.2">
      <c r="A29" s="26" t="s">
        <v>277</v>
      </c>
      <c r="B29" s="12" t="s">
        <v>189</v>
      </c>
      <c r="C29" s="12" t="s">
        <v>192</v>
      </c>
      <c r="D29" s="27" t="s">
        <v>197</v>
      </c>
      <c r="E29" s="28" t="s">
        <v>45</v>
      </c>
      <c r="F29" s="29">
        <v>7000</v>
      </c>
      <c r="G29" s="29">
        <v>0</v>
      </c>
      <c r="H29" s="29">
        <v>7000</v>
      </c>
      <c r="I29" s="29">
        <v>814.1</v>
      </c>
      <c r="J29" s="7">
        <f t="shared" si="0"/>
        <v>0.1163</v>
      </c>
      <c r="K29" s="29">
        <v>139.21</v>
      </c>
      <c r="L29" s="29">
        <v>0</v>
      </c>
      <c r="M29" s="29">
        <v>139.21</v>
      </c>
      <c r="N29" s="7">
        <f t="shared" si="1"/>
        <v>0.17099864881464194</v>
      </c>
      <c r="O29" s="29">
        <v>674.89</v>
      </c>
      <c r="P29" s="8">
        <f t="shared" si="2"/>
        <v>-6185.9</v>
      </c>
    </row>
    <row r="30" spans="1:16" x14ac:dyDescent="0.2">
      <c r="A30" s="26" t="s">
        <v>278</v>
      </c>
      <c r="B30" s="12" t="s">
        <v>189</v>
      </c>
      <c r="C30" s="12" t="s">
        <v>198</v>
      </c>
      <c r="D30" s="27" t="s">
        <v>199</v>
      </c>
      <c r="E30" s="28" t="s">
        <v>46</v>
      </c>
      <c r="F30" s="29">
        <v>20000</v>
      </c>
      <c r="G30" s="29">
        <v>0</v>
      </c>
      <c r="H30" s="29">
        <v>20000</v>
      </c>
      <c r="I30" s="29">
        <v>3622.73</v>
      </c>
      <c r="J30" s="7">
        <f t="shared" si="0"/>
        <v>0.18113650000000001</v>
      </c>
      <c r="K30" s="29">
        <v>3653.53</v>
      </c>
      <c r="L30" s="29">
        <v>30.8</v>
      </c>
      <c r="M30" s="29">
        <v>3622.73</v>
      </c>
      <c r="N30" s="7">
        <f t="shared" si="1"/>
        <v>1</v>
      </c>
      <c r="O30" s="29">
        <v>0</v>
      </c>
      <c r="P30" s="8">
        <f t="shared" si="2"/>
        <v>-16377.27</v>
      </c>
    </row>
    <row r="31" spans="1:16" x14ac:dyDescent="0.2">
      <c r="A31" s="26" t="s">
        <v>279</v>
      </c>
      <c r="B31" s="12" t="s">
        <v>189</v>
      </c>
      <c r="C31" s="12" t="s">
        <v>198</v>
      </c>
      <c r="D31" s="27" t="s">
        <v>200</v>
      </c>
      <c r="E31" s="28" t="s">
        <v>47</v>
      </c>
      <c r="F31" s="29">
        <v>5250000</v>
      </c>
      <c r="G31" s="29">
        <v>0</v>
      </c>
      <c r="H31" s="29">
        <v>5250000</v>
      </c>
      <c r="I31" s="29">
        <v>1713689.7</v>
      </c>
      <c r="J31" s="7">
        <f t="shared" si="0"/>
        <v>0.32641708571428568</v>
      </c>
      <c r="K31" s="29">
        <v>1713838.45</v>
      </c>
      <c r="L31" s="29">
        <v>148.75</v>
      </c>
      <c r="M31" s="29">
        <v>1713689.7</v>
      </c>
      <c r="N31" s="7">
        <f t="shared" si="1"/>
        <v>1</v>
      </c>
      <c r="O31" s="29">
        <v>0</v>
      </c>
      <c r="P31" s="8">
        <f t="shared" si="2"/>
        <v>-3536310.3</v>
      </c>
    </row>
    <row r="32" spans="1:16" x14ac:dyDescent="0.2">
      <c r="A32" s="26" t="s">
        <v>280</v>
      </c>
      <c r="B32" s="12" t="s">
        <v>189</v>
      </c>
      <c r="C32" s="12" t="s">
        <v>198</v>
      </c>
      <c r="D32" s="27" t="s">
        <v>201</v>
      </c>
      <c r="E32" s="28" t="s">
        <v>48</v>
      </c>
      <c r="F32" s="29">
        <v>1775000</v>
      </c>
      <c r="G32" s="29">
        <v>0</v>
      </c>
      <c r="H32" s="29">
        <v>1775000</v>
      </c>
      <c r="I32" s="29">
        <v>50314.64</v>
      </c>
      <c r="J32" s="7">
        <f t="shared" si="0"/>
        <v>2.8346276056338028E-2</v>
      </c>
      <c r="K32" s="29">
        <v>30091.03</v>
      </c>
      <c r="L32" s="29">
        <v>551.24</v>
      </c>
      <c r="M32" s="29">
        <v>29539.79</v>
      </c>
      <c r="N32" s="7">
        <f t="shared" si="1"/>
        <v>0.58710128900852721</v>
      </c>
      <c r="O32" s="29">
        <v>20774.849999999999</v>
      </c>
      <c r="P32" s="8">
        <f t="shared" si="2"/>
        <v>-1724685.36</v>
      </c>
    </row>
    <row r="33" spans="1:16" x14ac:dyDescent="0.2">
      <c r="A33" s="26" t="s">
        <v>281</v>
      </c>
      <c r="B33" s="12" t="s">
        <v>189</v>
      </c>
      <c r="C33" s="12" t="s">
        <v>198</v>
      </c>
      <c r="D33" s="27" t="s">
        <v>202</v>
      </c>
      <c r="E33" s="28" t="s">
        <v>49</v>
      </c>
      <c r="F33" s="29">
        <v>50000</v>
      </c>
      <c r="G33" s="29">
        <v>0</v>
      </c>
      <c r="H33" s="29">
        <v>50000</v>
      </c>
      <c r="I33" s="29">
        <v>4796.8100000000004</v>
      </c>
      <c r="J33" s="7">
        <f t="shared" si="0"/>
        <v>9.5936200000000013E-2</v>
      </c>
      <c r="K33" s="29">
        <v>5948.35</v>
      </c>
      <c r="L33" s="29">
        <v>1259.33</v>
      </c>
      <c r="M33" s="29">
        <v>4689.0200000000004</v>
      </c>
      <c r="N33" s="7">
        <f t="shared" si="1"/>
        <v>0.97752881602565034</v>
      </c>
      <c r="O33" s="29">
        <v>107.79</v>
      </c>
      <c r="P33" s="8">
        <f t="shared" si="2"/>
        <v>-45203.19</v>
      </c>
    </row>
    <row r="34" spans="1:16" x14ac:dyDescent="0.2">
      <c r="A34" s="26" t="s">
        <v>282</v>
      </c>
      <c r="B34" s="12" t="s">
        <v>189</v>
      </c>
      <c r="C34" s="12" t="s">
        <v>198</v>
      </c>
      <c r="D34" s="27" t="s">
        <v>202</v>
      </c>
      <c r="E34" s="28" t="s">
        <v>50</v>
      </c>
      <c r="F34" s="29">
        <v>1115000</v>
      </c>
      <c r="G34" s="29">
        <v>0</v>
      </c>
      <c r="H34" s="29">
        <v>1115000</v>
      </c>
      <c r="I34" s="29">
        <v>179611.51999999999</v>
      </c>
      <c r="J34" s="7">
        <f t="shared" si="0"/>
        <v>0.16108656502242152</v>
      </c>
      <c r="K34" s="29">
        <v>174566.3</v>
      </c>
      <c r="L34" s="29">
        <v>4722.33</v>
      </c>
      <c r="M34" s="29">
        <v>169843.97</v>
      </c>
      <c r="N34" s="7">
        <f t="shared" si="1"/>
        <v>0.94561846589795584</v>
      </c>
      <c r="O34" s="29">
        <v>9767.5499999999993</v>
      </c>
      <c r="P34" s="8">
        <f t="shared" si="2"/>
        <v>-935388.48</v>
      </c>
    </row>
    <row r="35" spans="1:16" x14ac:dyDescent="0.2">
      <c r="A35" s="26" t="s">
        <v>283</v>
      </c>
      <c r="B35" s="12" t="s">
        <v>189</v>
      </c>
      <c r="C35" s="12" t="s">
        <v>198</v>
      </c>
      <c r="D35" s="27" t="s">
        <v>202</v>
      </c>
      <c r="E35" s="28" t="s">
        <v>51</v>
      </c>
      <c r="F35" s="29">
        <v>40000</v>
      </c>
      <c r="G35" s="29">
        <v>0</v>
      </c>
      <c r="H35" s="29">
        <v>40000</v>
      </c>
      <c r="I35" s="29">
        <v>516.55999999999995</v>
      </c>
      <c r="J35" s="7">
        <f t="shared" si="0"/>
        <v>1.2913999999999998E-2</v>
      </c>
      <c r="K35" s="29">
        <v>516.55999999999995</v>
      </c>
      <c r="L35" s="29">
        <v>0</v>
      </c>
      <c r="M35" s="29">
        <v>516.55999999999995</v>
      </c>
      <c r="N35" s="7">
        <f t="shared" si="1"/>
        <v>1</v>
      </c>
      <c r="O35" s="29">
        <v>0</v>
      </c>
      <c r="P35" s="8">
        <f t="shared" si="2"/>
        <v>-39483.440000000002</v>
      </c>
    </row>
    <row r="36" spans="1:16" x14ac:dyDescent="0.2">
      <c r="A36" s="26" t="s">
        <v>284</v>
      </c>
      <c r="B36" s="12" t="s">
        <v>189</v>
      </c>
      <c r="C36" s="12" t="s">
        <v>198</v>
      </c>
      <c r="D36" s="27" t="s">
        <v>202</v>
      </c>
      <c r="E36" s="28" t="s">
        <v>52</v>
      </c>
      <c r="F36" s="29">
        <v>400000</v>
      </c>
      <c r="G36" s="29">
        <v>0</v>
      </c>
      <c r="H36" s="29">
        <v>400000</v>
      </c>
      <c r="I36" s="29">
        <v>-25738.77</v>
      </c>
      <c r="J36" s="7">
        <f t="shared" si="0"/>
        <v>-6.4346924999999999E-2</v>
      </c>
      <c r="K36" s="29">
        <v>3577.35</v>
      </c>
      <c r="L36" s="29">
        <v>31523.53</v>
      </c>
      <c r="M36" s="29">
        <v>-27946.18</v>
      </c>
      <c r="N36" s="7">
        <f t="shared" si="1"/>
        <v>1.0857620624450974</v>
      </c>
      <c r="O36" s="29">
        <v>2207.41</v>
      </c>
      <c r="P36" s="8">
        <f t="shared" si="2"/>
        <v>-425738.77</v>
      </c>
    </row>
    <row r="37" spans="1:16" x14ac:dyDescent="0.2">
      <c r="A37" s="26" t="s">
        <v>285</v>
      </c>
      <c r="B37" s="12" t="s">
        <v>189</v>
      </c>
      <c r="C37" s="12" t="s">
        <v>198</v>
      </c>
      <c r="D37" s="27" t="s">
        <v>202</v>
      </c>
      <c r="E37" s="28" t="s">
        <v>53</v>
      </c>
      <c r="F37" s="29">
        <v>6400000</v>
      </c>
      <c r="G37" s="29">
        <v>0</v>
      </c>
      <c r="H37" s="29">
        <v>6400000</v>
      </c>
      <c r="I37" s="29">
        <v>2308002.87</v>
      </c>
      <c r="J37" s="7">
        <f t="shared" si="0"/>
        <v>0.3606254484375</v>
      </c>
      <c r="K37" s="29">
        <v>1565025.03</v>
      </c>
      <c r="L37" s="29">
        <v>0</v>
      </c>
      <c r="M37" s="29">
        <v>1565025.03</v>
      </c>
      <c r="N37" s="7">
        <f t="shared" si="1"/>
        <v>0.67808625818563217</v>
      </c>
      <c r="O37" s="29">
        <v>742977.84</v>
      </c>
      <c r="P37" s="8">
        <f t="shared" si="2"/>
        <v>-4091997.13</v>
      </c>
    </row>
    <row r="38" spans="1:16" x14ac:dyDescent="0.2">
      <c r="A38" s="26" t="s">
        <v>286</v>
      </c>
      <c r="B38" s="12" t="s">
        <v>189</v>
      </c>
      <c r="C38" s="12" t="s">
        <v>198</v>
      </c>
      <c r="D38" s="27" t="s">
        <v>203</v>
      </c>
      <c r="E38" s="28" t="s">
        <v>54</v>
      </c>
      <c r="F38" s="29">
        <v>565000</v>
      </c>
      <c r="G38" s="29">
        <v>0</v>
      </c>
      <c r="H38" s="29">
        <v>565000</v>
      </c>
      <c r="I38" s="29">
        <v>193263.07</v>
      </c>
      <c r="J38" s="7">
        <f t="shared" si="0"/>
        <v>0.34205853097345135</v>
      </c>
      <c r="K38" s="29">
        <v>151291.4</v>
      </c>
      <c r="L38" s="29">
        <v>4451.2</v>
      </c>
      <c r="M38" s="29">
        <v>146840.20000000001</v>
      </c>
      <c r="N38" s="7">
        <f t="shared" si="1"/>
        <v>0.75979440873002801</v>
      </c>
      <c r="O38" s="29">
        <v>46422.87</v>
      </c>
      <c r="P38" s="8">
        <f t="shared" si="2"/>
        <v>-371736.93</v>
      </c>
    </row>
    <row r="39" spans="1:16" x14ac:dyDescent="0.2">
      <c r="A39" s="26" t="s">
        <v>287</v>
      </c>
      <c r="B39" s="12" t="s">
        <v>189</v>
      </c>
      <c r="C39" s="12" t="s">
        <v>204</v>
      </c>
      <c r="D39" s="27" t="s">
        <v>205</v>
      </c>
      <c r="E39" s="28" t="s">
        <v>55</v>
      </c>
      <c r="F39" s="29">
        <v>750000</v>
      </c>
      <c r="G39" s="29">
        <v>0</v>
      </c>
      <c r="H39" s="29">
        <v>750000</v>
      </c>
      <c r="I39" s="29">
        <v>189683.20000000001</v>
      </c>
      <c r="J39" s="7">
        <f t="shared" si="0"/>
        <v>0.25291093333333337</v>
      </c>
      <c r="K39" s="29">
        <v>189683.20000000001</v>
      </c>
      <c r="L39" s="29">
        <v>0</v>
      </c>
      <c r="M39" s="29">
        <v>189683.20000000001</v>
      </c>
      <c r="N39" s="7">
        <f t="shared" si="1"/>
        <v>1</v>
      </c>
      <c r="O39" s="29">
        <v>0</v>
      </c>
      <c r="P39" s="8">
        <f t="shared" si="2"/>
        <v>-560316.80000000005</v>
      </c>
    </row>
    <row r="40" spans="1:16" x14ac:dyDescent="0.2">
      <c r="A40" s="26" t="s">
        <v>288</v>
      </c>
      <c r="B40" s="12" t="s">
        <v>189</v>
      </c>
      <c r="C40" s="12" t="s">
        <v>204</v>
      </c>
      <c r="D40" s="27" t="s">
        <v>205</v>
      </c>
      <c r="E40" s="28" t="s">
        <v>56</v>
      </c>
      <c r="F40" s="29">
        <v>105000</v>
      </c>
      <c r="G40" s="29">
        <v>0</v>
      </c>
      <c r="H40" s="29">
        <v>105000</v>
      </c>
      <c r="I40" s="29">
        <v>-186</v>
      </c>
      <c r="J40" s="7">
        <f t="shared" si="0"/>
        <v>-1.7714285714285714E-3</v>
      </c>
      <c r="K40" s="29">
        <v>389</v>
      </c>
      <c r="L40" s="29">
        <v>575</v>
      </c>
      <c r="M40" s="29">
        <v>-186</v>
      </c>
      <c r="N40" s="7">
        <f t="shared" si="1"/>
        <v>1</v>
      </c>
      <c r="O40" s="29">
        <v>0</v>
      </c>
      <c r="P40" s="8">
        <f t="shared" si="2"/>
        <v>-105186</v>
      </c>
    </row>
    <row r="41" spans="1:16" x14ac:dyDescent="0.2">
      <c r="A41" s="26" t="s">
        <v>289</v>
      </c>
      <c r="B41" s="12" t="s">
        <v>189</v>
      </c>
      <c r="C41" s="12" t="s">
        <v>204</v>
      </c>
      <c r="D41" s="27" t="s">
        <v>206</v>
      </c>
      <c r="E41" s="28" t="s">
        <v>57</v>
      </c>
      <c r="F41" s="29">
        <v>513000</v>
      </c>
      <c r="G41" s="29">
        <v>0</v>
      </c>
      <c r="H41" s="29">
        <v>513000</v>
      </c>
      <c r="I41" s="29">
        <v>48135.55</v>
      </c>
      <c r="J41" s="7">
        <f t="shared" si="0"/>
        <v>9.3831481481481488E-2</v>
      </c>
      <c r="K41" s="29">
        <v>48135.55</v>
      </c>
      <c r="L41" s="29">
        <v>0</v>
      </c>
      <c r="M41" s="29">
        <v>48135.55</v>
      </c>
      <c r="N41" s="7">
        <f t="shared" si="1"/>
        <v>1</v>
      </c>
      <c r="O41" s="29">
        <v>0</v>
      </c>
      <c r="P41" s="8">
        <f t="shared" si="2"/>
        <v>-464864.45</v>
      </c>
    </row>
    <row r="42" spans="1:16" x14ac:dyDescent="0.2">
      <c r="A42" s="26" t="s">
        <v>290</v>
      </c>
      <c r="B42" s="12" t="s">
        <v>189</v>
      </c>
      <c r="C42" s="12" t="s">
        <v>204</v>
      </c>
      <c r="D42" s="27" t="s">
        <v>207</v>
      </c>
      <c r="E42" s="28" t="s">
        <v>58</v>
      </c>
      <c r="F42" s="29">
        <v>7500</v>
      </c>
      <c r="G42" s="29">
        <v>0</v>
      </c>
      <c r="H42" s="29">
        <v>7500</v>
      </c>
      <c r="I42" s="29">
        <v>0</v>
      </c>
      <c r="J42" s="7">
        <f t="shared" si="0"/>
        <v>0</v>
      </c>
      <c r="K42" s="29">
        <v>0</v>
      </c>
      <c r="L42" s="29">
        <v>0</v>
      </c>
      <c r="M42" s="29">
        <v>0</v>
      </c>
      <c r="N42" s="7" t="str">
        <f t="shared" si="1"/>
        <v xml:space="preserve"> </v>
      </c>
      <c r="O42" s="29">
        <v>0</v>
      </c>
      <c r="P42" s="8">
        <f t="shared" si="2"/>
        <v>-7500</v>
      </c>
    </row>
    <row r="43" spans="1:16" x14ac:dyDescent="0.2">
      <c r="A43" s="26" t="s">
        <v>291</v>
      </c>
      <c r="B43" s="12" t="s">
        <v>189</v>
      </c>
      <c r="C43" s="12" t="s">
        <v>204</v>
      </c>
      <c r="D43" s="27" t="s">
        <v>207</v>
      </c>
      <c r="E43" s="28" t="s">
        <v>59</v>
      </c>
      <c r="F43" s="29">
        <v>27250</v>
      </c>
      <c r="G43" s="29">
        <v>0</v>
      </c>
      <c r="H43" s="29">
        <v>27250</v>
      </c>
      <c r="I43" s="29">
        <v>7390</v>
      </c>
      <c r="J43" s="7">
        <f t="shared" si="0"/>
        <v>0.27119266055045871</v>
      </c>
      <c r="K43" s="29">
        <v>4834</v>
      </c>
      <c r="L43" s="29">
        <v>0</v>
      </c>
      <c r="M43" s="29">
        <v>4834</v>
      </c>
      <c r="N43" s="7">
        <f t="shared" si="1"/>
        <v>0.65412719891745608</v>
      </c>
      <c r="O43" s="29">
        <v>2556</v>
      </c>
      <c r="P43" s="8">
        <f t="shared" si="2"/>
        <v>-19860</v>
      </c>
    </row>
    <row r="44" spans="1:16" x14ac:dyDescent="0.2">
      <c r="A44" s="26" t="s">
        <v>292</v>
      </c>
      <c r="B44" s="12" t="s">
        <v>189</v>
      </c>
      <c r="C44" s="12" t="s">
        <v>204</v>
      </c>
      <c r="D44" s="27" t="s">
        <v>207</v>
      </c>
      <c r="E44" s="28" t="s">
        <v>60</v>
      </c>
      <c r="F44" s="29">
        <v>35100</v>
      </c>
      <c r="G44" s="29">
        <v>0</v>
      </c>
      <c r="H44" s="29">
        <v>35100</v>
      </c>
      <c r="I44" s="29">
        <v>8404.4500000000007</v>
      </c>
      <c r="J44" s="7">
        <f t="shared" si="0"/>
        <v>0.23944301994301997</v>
      </c>
      <c r="K44" s="29">
        <v>3077.67</v>
      </c>
      <c r="L44" s="29">
        <v>0</v>
      </c>
      <c r="M44" s="29">
        <v>3077.67</v>
      </c>
      <c r="N44" s="7">
        <f t="shared" si="1"/>
        <v>0.36619528940025819</v>
      </c>
      <c r="O44" s="29">
        <v>5326.78</v>
      </c>
      <c r="P44" s="8">
        <f t="shared" si="2"/>
        <v>-26695.55</v>
      </c>
    </row>
    <row r="45" spans="1:16" x14ac:dyDescent="0.2">
      <c r="A45" s="26" t="s">
        <v>293</v>
      </c>
      <c r="B45" s="12" t="s">
        <v>189</v>
      </c>
      <c r="C45" s="12" t="s">
        <v>204</v>
      </c>
      <c r="D45" s="27" t="s">
        <v>207</v>
      </c>
      <c r="E45" s="28" t="s">
        <v>61</v>
      </c>
      <c r="F45" s="29">
        <v>18000</v>
      </c>
      <c r="G45" s="29">
        <v>0</v>
      </c>
      <c r="H45" s="29">
        <v>18000</v>
      </c>
      <c r="I45" s="29">
        <v>5950.21</v>
      </c>
      <c r="J45" s="7">
        <f t="shared" si="0"/>
        <v>0.33056722222222223</v>
      </c>
      <c r="K45" s="29">
        <v>3305.68</v>
      </c>
      <c r="L45" s="29">
        <v>0</v>
      </c>
      <c r="M45" s="29">
        <v>3305.68</v>
      </c>
      <c r="N45" s="7">
        <f t="shared" si="1"/>
        <v>0.55555686269896354</v>
      </c>
      <c r="O45" s="29">
        <v>2644.53</v>
      </c>
      <c r="P45" s="8">
        <f t="shared" si="2"/>
        <v>-12049.79</v>
      </c>
    </row>
    <row r="46" spans="1:16" x14ac:dyDescent="0.2">
      <c r="A46" s="26" t="s">
        <v>294</v>
      </c>
      <c r="B46" s="12" t="s">
        <v>189</v>
      </c>
      <c r="C46" s="12" t="s">
        <v>204</v>
      </c>
      <c r="D46" s="27" t="s">
        <v>207</v>
      </c>
      <c r="E46" s="28" t="s">
        <v>62</v>
      </c>
      <c r="F46" s="29">
        <v>0</v>
      </c>
      <c r="G46" s="29">
        <v>0</v>
      </c>
      <c r="H46" s="29">
        <v>0</v>
      </c>
      <c r="I46" s="29">
        <v>591.78</v>
      </c>
      <c r="J46" s="7" t="str">
        <f t="shared" si="0"/>
        <v xml:space="preserve"> </v>
      </c>
      <c r="K46" s="29">
        <v>253.62</v>
      </c>
      <c r="L46" s="29">
        <v>0</v>
      </c>
      <c r="M46" s="29">
        <v>253.62</v>
      </c>
      <c r="N46" s="7">
        <f t="shared" si="1"/>
        <v>0.4285714285714286</v>
      </c>
      <c r="O46" s="29">
        <v>338.16</v>
      </c>
      <c r="P46" s="8">
        <f t="shared" si="2"/>
        <v>591.78</v>
      </c>
    </row>
    <row r="47" spans="1:16" x14ac:dyDescent="0.2">
      <c r="A47" s="26" t="s">
        <v>295</v>
      </c>
      <c r="B47" s="12" t="s">
        <v>189</v>
      </c>
      <c r="C47" s="12" t="s">
        <v>204</v>
      </c>
      <c r="D47" s="27" t="s">
        <v>207</v>
      </c>
      <c r="E47" s="28" t="s">
        <v>63</v>
      </c>
      <c r="F47" s="29">
        <v>3671311</v>
      </c>
      <c r="G47" s="29">
        <v>0</v>
      </c>
      <c r="H47" s="29">
        <v>3671311</v>
      </c>
      <c r="I47" s="29">
        <v>843447.71</v>
      </c>
      <c r="J47" s="7">
        <f t="shared" si="0"/>
        <v>0.22974019634947843</v>
      </c>
      <c r="K47" s="29">
        <v>848030.05</v>
      </c>
      <c r="L47" s="29">
        <v>4582.34</v>
      </c>
      <c r="M47" s="29">
        <v>843447.71</v>
      </c>
      <c r="N47" s="7">
        <f t="shared" si="1"/>
        <v>1</v>
      </c>
      <c r="O47" s="29">
        <v>0</v>
      </c>
      <c r="P47" s="8">
        <f t="shared" si="2"/>
        <v>-2827863.29</v>
      </c>
    </row>
    <row r="48" spans="1:16" x14ac:dyDescent="0.2">
      <c r="A48" s="26" t="s">
        <v>296</v>
      </c>
      <c r="B48" s="12" t="s">
        <v>189</v>
      </c>
      <c r="C48" s="12" t="s">
        <v>204</v>
      </c>
      <c r="D48" s="27" t="s">
        <v>207</v>
      </c>
      <c r="E48" s="28" t="s">
        <v>64</v>
      </c>
      <c r="F48" s="29">
        <v>248160</v>
      </c>
      <c r="G48" s="29">
        <v>0</v>
      </c>
      <c r="H48" s="29">
        <v>248160</v>
      </c>
      <c r="I48" s="29">
        <v>71493.2</v>
      </c>
      <c r="J48" s="7">
        <f t="shared" si="0"/>
        <v>0.28809316569954868</v>
      </c>
      <c r="K48" s="29">
        <v>49379.05</v>
      </c>
      <c r="L48" s="29">
        <v>0</v>
      </c>
      <c r="M48" s="29">
        <v>49379.05</v>
      </c>
      <c r="N48" s="7">
        <f t="shared" si="1"/>
        <v>0.69068177113347851</v>
      </c>
      <c r="O48" s="29">
        <v>22114.15</v>
      </c>
      <c r="P48" s="8">
        <f t="shared" si="2"/>
        <v>-176666.8</v>
      </c>
    </row>
    <row r="49" spans="1:16" x14ac:dyDescent="0.2">
      <c r="A49" s="26" t="s">
        <v>297</v>
      </c>
      <c r="B49" s="12" t="s">
        <v>189</v>
      </c>
      <c r="C49" s="12" t="s">
        <v>208</v>
      </c>
      <c r="D49" s="27" t="s">
        <v>209</v>
      </c>
      <c r="E49" s="28" t="s">
        <v>65</v>
      </c>
      <c r="F49" s="29">
        <v>160000</v>
      </c>
      <c r="G49" s="29">
        <v>0</v>
      </c>
      <c r="H49" s="29">
        <v>160000</v>
      </c>
      <c r="I49" s="29">
        <v>90024.69</v>
      </c>
      <c r="J49" s="7">
        <f t="shared" si="0"/>
        <v>0.56265431249999998</v>
      </c>
      <c r="K49" s="29">
        <v>90024.69</v>
      </c>
      <c r="L49" s="29">
        <v>0</v>
      </c>
      <c r="M49" s="29">
        <v>90024.69</v>
      </c>
      <c r="N49" s="7">
        <f t="shared" si="1"/>
        <v>1</v>
      </c>
      <c r="O49" s="29">
        <v>0</v>
      </c>
      <c r="P49" s="8">
        <f t="shared" si="2"/>
        <v>-69975.31</v>
      </c>
    </row>
    <row r="50" spans="1:16" x14ac:dyDescent="0.2">
      <c r="A50" s="26" t="s">
        <v>298</v>
      </c>
      <c r="B50" s="12" t="s">
        <v>189</v>
      </c>
      <c r="C50" s="12" t="s">
        <v>210</v>
      </c>
      <c r="D50" s="27" t="s">
        <v>211</v>
      </c>
      <c r="E50" s="28" t="s">
        <v>66</v>
      </c>
      <c r="F50" s="29">
        <v>1384000</v>
      </c>
      <c r="G50" s="29">
        <v>0</v>
      </c>
      <c r="H50" s="29">
        <v>1384000</v>
      </c>
      <c r="I50" s="29">
        <v>0</v>
      </c>
      <c r="J50" s="7">
        <f t="shared" si="0"/>
        <v>0</v>
      </c>
      <c r="K50" s="29">
        <v>0</v>
      </c>
      <c r="L50" s="29">
        <v>0</v>
      </c>
      <c r="M50" s="29">
        <v>0</v>
      </c>
      <c r="N50" s="7" t="str">
        <f t="shared" si="1"/>
        <v xml:space="preserve"> </v>
      </c>
      <c r="O50" s="29">
        <v>0</v>
      </c>
      <c r="P50" s="8">
        <f t="shared" si="2"/>
        <v>-1384000</v>
      </c>
    </row>
    <row r="51" spans="1:16" x14ac:dyDescent="0.2">
      <c r="A51" s="26" t="s">
        <v>299</v>
      </c>
      <c r="B51" s="12" t="s">
        <v>189</v>
      </c>
      <c r="C51" s="12" t="s">
        <v>210</v>
      </c>
      <c r="D51" s="27" t="s">
        <v>211</v>
      </c>
      <c r="E51" s="28" t="s">
        <v>67</v>
      </c>
      <c r="F51" s="29">
        <v>435300</v>
      </c>
      <c r="G51" s="29">
        <v>0</v>
      </c>
      <c r="H51" s="29">
        <v>435300</v>
      </c>
      <c r="I51" s="29">
        <v>213699.81</v>
      </c>
      <c r="J51" s="7">
        <f t="shared" si="0"/>
        <v>0.49092536181943486</v>
      </c>
      <c r="K51" s="29">
        <v>88798.99</v>
      </c>
      <c r="L51" s="29">
        <v>0</v>
      </c>
      <c r="M51" s="29">
        <v>88798.99</v>
      </c>
      <c r="N51" s="7">
        <f t="shared" si="1"/>
        <v>0.41553144104339634</v>
      </c>
      <c r="O51" s="29">
        <v>124900.82</v>
      </c>
      <c r="P51" s="8">
        <f t="shared" si="2"/>
        <v>-221600.19</v>
      </c>
    </row>
    <row r="52" spans="1:16" x14ac:dyDescent="0.2">
      <c r="A52" s="26" t="s">
        <v>300</v>
      </c>
      <c r="B52" s="12" t="s">
        <v>189</v>
      </c>
      <c r="C52" s="12" t="s">
        <v>210</v>
      </c>
      <c r="D52" s="27" t="s">
        <v>211</v>
      </c>
      <c r="E52" s="28" t="s">
        <v>68</v>
      </c>
      <c r="F52" s="29">
        <v>221576</v>
      </c>
      <c r="G52" s="29">
        <v>0</v>
      </c>
      <c r="H52" s="29">
        <v>221576</v>
      </c>
      <c r="I52" s="29">
        <v>54116.85</v>
      </c>
      <c r="J52" s="7">
        <f t="shared" si="0"/>
        <v>0.24423606347257826</v>
      </c>
      <c r="K52" s="29">
        <v>21080.27</v>
      </c>
      <c r="L52" s="29">
        <v>0</v>
      </c>
      <c r="M52" s="29">
        <v>21080.27</v>
      </c>
      <c r="N52" s="7">
        <f t="shared" si="1"/>
        <v>0.38953246539663711</v>
      </c>
      <c r="O52" s="29">
        <v>33036.58</v>
      </c>
      <c r="P52" s="8">
        <f t="shared" si="2"/>
        <v>-167459.15</v>
      </c>
    </row>
    <row r="53" spans="1:16" x14ac:dyDescent="0.2">
      <c r="A53" s="26" t="s">
        <v>301</v>
      </c>
      <c r="B53" s="12" t="s">
        <v>189</v>
      </c>
      <c r="C53" s="12" t="s">
        <v>210</v>
      </c>
      <c r="D53" s="27" t="s">
        <v>211</v>
      </c>
      <c r="E53" s="28" t="s">
        <v>69</v>
      </c>
      <c r="F53" s="29">
        <v>242210</v>
      </c>
      <c r="G53" s="29">
        <v>0</v>
      </c>
      <c r="H53" s="29">
        <v>242210</v>
      </c>
      <c r="I53" s="29">
        <v>56995.9</v>
      </c>
      <c r="J53" s="7">
        <f t="shared" si="0"/>
        <v>0.23531604805747081</v>
      </c>
      <c r="K53" s="29">
        <v>42123.9</v>
      </c>
      <c r="L53" s="29">
        <v>0</v>
      </c>
      <c r="M53" s="29">
        <v>42123.9</v>
      </c>
      <c r="N53" s="7">
        <f t="shared" si="1"/>
        <v>0.73906895057363775</v>
      </c>
      <c r="O53" s="29">
        <v>14872</v>
      </c>
      <c r="P53" s="8">
        <f t="shared" si="2"/>
        <v>-185214.1</v>
      </c>
    </row>
    <row r="54" spans="1:16" x14ac:dyDescent="0.2">
      <c r="A54" s="26" t="s">
        <v>302</v>
      </c>
      <c r="B54" s="12" t="s">
        <v>189</v>
      </c>
      <c r="C54" s="12" t="s">
        <v>210</v>
      </c>
      <c r="D54" s="27" t="s">
        <v>211</v>
      </c>
      <c r="E54" s="28" t="s">
        <v>70</v>
      </c>
      <c r="F54" s="29">
        <v>170000</v>
      </c>
      <c r="G54" s="29">
        <v>0</v>
      </c>
      <c r="H54" s="29">
        <v>170000</v>
      </c>
      <c r="I54" s="29">
        <v>16514.490000000002</v>
      </c>
      <c r="J54" s="7">
        <f t="shared" si="0"/>
        <v>9.7144058823529417E-2</v>
      </c>
      <c r="K54" s="29">
        <v>16514.490000000002</v>
      </c>
      <c r="L54" s="29">
        <v>0</v>
      </c>
      <c r="M54" s="29">
        <v>16514.490000000002</v>
      </c>
      <c r="N54" s="7">
        <f t="shared" si="1"/>
        <v>1</v>
      </c>
      <c r="O54" s="29">
        <v>0</v>
      </c>
      <c r="P54" s="8">
        <f t="shared" si="2"/>
        <v>-153485.51</v>
      </c>
    </row>
    <row r="55" spans="1:16" x14ac:dyDescent="0.2">
      <c r="A55" s="26" t="s">
        <v>303</v>
      </c>
      <c r="B55" s="12" t="s">
        <v>189</v>
      </c>
      <c r="C55" s="12" t="s">
        <v>212</v>
      </c>
      <c r="D55" s="27" t="s">
        <v>213</v>
      </c>
      <c r="E55" s="28" t="s">
        <v>71</v>
      </c>
      <c r="F55" s="29">
        <v>173956</v>
      </c>
      <c r="G55" s="29">
        <v>0</v>
      </c>
      <c r="H55" s="29">
        <v>173956</v>
      </c>
      <c r="I55" s="29">
        <v>64903.24</v>
      </c>
      <c r="J55" s="7">
        <f t="shared" si="0"/>
        <v>0.37310147393593779</v>
      </c>
      <c r="K55" s="29">
        <v>0</v>
      </c>
      <c r="L55" s="29">
        <v>0</v>
      </c>
      <c r="M55" s="29">
        <v>0</v>
      </c>
      <c r="N55" s="7">
        <f t="shared" si="1"/>
        <v>0</v>
      </c>
      <c r="O55" s="29">
        <v>64903.24</v>
      </c>
      <c r="P55" s="8">
        <f t="shared" si="2"/>
        <v>-109052.76000000001</v>
      </c>
    </row>
    <row r="56" spans="1:16" x14ac:dyDescent="0.2">
      <c r="A56" s="26" t="s">
        <v>304</v>
      </c>
      <c r="B56" s="12" t="s">
        <v>189</v>
      </c>
      <c r="C56" s="12" t="s">
        <v>214</v>
      </c>
      <c r="D56" s="27" t="s">
        <v>215</v>
      </c>
      <c r="E56" s="28" t="s">
        <v>72</v>
      </c>
      <c r="F56" s="29">
        <v>600000</v>
      </c>
      <c r="G56" s="29">
        <v>0</v>
      </c>
      <c r="H56" s="29">
        <v>600000</v>
      </c>
      <c r="I56" s="29">
        <v>96722.3</v>
      </c>
      <c r="J56" s="7">
        <f t="shared" si="0"/>
        <v>0.16120383333333335</v>
      </c>
      <c r="K56" s="29">
        <v>57021.23</v>
      </c>
      <c r="L56" s="29">
        <v>0</v>
      </c>
      <c r="M56" s="29">
        <v>57021.23</v>
      </c>
      <c r="N56" s="7">
        <f t="shared" si="1"/>
        <v>0.58953550525576837</v>
      </c>
      <c r="O56" s="29">
        <v>39701.07</v>
      </c>
      <c r="P56" s="8">
        <f t="shared" si="2"/>
        <v>-503277.7</v>
      </c>
    </row>
    <row r="57" spans="1:16" x14ac:dyDescent="0.2">
      <c r="A57" s="26" t="s">
        <v>305</v>
      </c>
      <c r="B57" s="12" t="s">
        <v>189</v>
      </c>
      <c r="C57" s="12" t="s">
        <v>214</v>
      </c>
      <c r="D57" s="27" t="s">
        <v>215</v>
      </c>
      <c r="E57" s="28" t="s">
        <v>73</v>
      </c>
      <c r="F57" s="29">
        <v>150000</v>
      </c>
      <c r="G57" s="29">
        <v>0</v>
      </c>
      <c r="H57" s="29">
        <v>150000</v>
      </c>
      <c r="I57" s="29">
        <v>33538.82</v>
      </c>
      <c r="J57" s="7">
        <f t="shared" si="0"/>
        <v>0.22359213333333333</v>
      </c>
      <c r="K57" s="29">
        <v>9711.5</v>
      </c>
      <c r="L57" s="29">
        <v>380.68</v>
      </c>
      <c r="M57" s="29">
        <v>9330.82</v>
      </c>
      <c r="N57" s="7">
        <f t="shared" si="1"/>
        <v>0.27820954941169662</v>
      </c>
      <c r="O57" s="29">
        <v>24208</v>
      </c>
      <c r="P57" s="8">
        <f t="shared" si="2"/>
        <v>-116461.18</v>
      </c>
    </row>
    <row r="58" spans="1:16" x14ac:dyDescent="0.2">
      <c r="A58" s="26" t="s">
        <v>306</v>
      </c>
      <c r="B58" s="12" t="s">
        <v>189</v>
      </c>
      <c r="C58" s="12" t="s">
        <v>214</v>
      </c>
      <c r="D58" s="27" t="s">
        <v>215</v>
      </c>
      <c r="E58" s="28" t="s">
        <v>74</v>
      </c>
      <c r="F58" s="29">
        <v>50000</v>
      </c>
      <c r="G58" s="29">
        <v>0</v>
      </c>
      <c r="H58" s="29">
        <v>50000</v>
      </c>
      <c r="I58" s="29">
        <v>10097.370000000001</v>
      </c>
      <c r="J58" s="7">
        <f t="shared" si="0"/>
        <v>0.20194740000000003</v>
      </c>
      <c r="K58" s="29">
        <v>1296.8699999999999</v>
      </c>
      <c r="L58" s="29">
        <v>0</v>
      </c>
      <c r="M58" s="29">
        <v>1296.8699999999999</v>
      </c>
      <c r="N58" s="7">
        <f t="shared" si="1"/>
        <v>0.12843641463074046</v>
      </c>
      <c r="O58" s="29">
        <v>8800.5</v>
      </c>
      <c r="P58" s="8">
        <f t="shared" si="2"/>
        <v>-39902.629999999997</v>
      </c>
    </row>
    <row r="59" spans="1:16" x14ac:dyDescent="0.2">
      <c r="A59" s="26" t="s">
        <v>307</v>
      </c>
      <c r="B59" s="12" t="s">
        <v>189</v>
      </c>
      <c r="C59" s="12" t="s">
        <v>214</v>
      </c>
      <c r="D59" s="27" t="s">
        <v>215</v>
      </c>
      <c r="E59" s="28" t="s">
        <v>75</v>
      </c>
      <c r="F59" s="29">
        <v>200000</v>
      </c>
      <c r="G59" s="29">
        <v>0</v>
      </c>
      <c r="H59" s="29">
        <v>200000</v>
      </c>
      <c r="I59" s="29">
        <v>40347.11</v>
      </c>
      <c r="J59" s="7">
        <f t="shared" si="0"/>
        <v>0.20173555000000001</v>
      </c>
      <c r="K59" s="29">
        <v>6518.36</v>
      </c>
      <c r="L59" s="29">
        <v>0</v>
      </c>
      <c r="M59" s="29">
        <v>6518.36</v>
      </c>
      <c r="N59" s="7">
        <f t="shared" si="1"/>
        <v>0.16155704832390722</v>
      </c>
      <c r="O59" s="29">
        <v>33828.75</v>
      </c>
      <c r="P59" s="8">
        <f t="shared" si="2"/>
        <v>-159652.89000000001</v>
      </c>
    </row>
    <row r="60" spans="1:16" x14ac:dyDescent="0.2">
      <c r="A60" s="26" t="s">
        <v>308</v>
      </c>
      <c r="B60" s="12" t="s">
        <v>189</v>
      </c>
      <c r="C60" s="12" t="s">
        <v>214</v>
      </c>
      <c r="D60" s="27" t="s">
        <v>215</v>
      </c>
      <c r="E60" s="28" t="s">
        <v>76</v>
      </c>
      <c r="F60" s="29">
        <v>110000</v>
      </c>
      <c r="G60" s="29">
        <v>0</v>
      </c>
      <c r="H60" s="29">
        <v>110000</v>
      </c>
      <c r="I60" s="29">
        <v>21603</v>
      </c>
      <c r="J60" s="7">
        <f t="shared" si="0"/>
        <v>0.19639090909090909</v>
      </c>
      <c r="K60" s="29">
        <v>0</v>
      </c>
      <c r="L60" s="29">
        <v>0</v>
      </c>
      <c r="M60" s="29">
        <v>0</v>
      </c>
      <c r="N60" s="7">
        <f t="shared" si="1"/>
        <v>0</v>
      </c>
      <c r="O60" s="29">
        <v>21603</v>
      </c>
      <c r="P60" s="8">
        <f t="shared" si="2"/>
        <v>-88397</v>
      </c>
    </row>
    <row r="61" spans="1:16" x14ac:dyDescent="0.2">
      <c r="A61" s="26" t="s">
        <v>309</v>
      </c>
      <c r="B61" s="12" t="s">
        <v>189</v>
      </c>
      <c r="C61" s="12" t="s">
        <v>214</v>
      </c>
      <c r="D61" s="27" t="s">
        <v>215</v>
      </c>
      <c r="E61" s="28" t="s">
        <v>133</v>
      </c>
      <c r="F61" s="29">
        <v>0</v>
      </c>
      <c r="G61" s="29">
        <v>0</v>
      </c>
      <c r="H61" s="29">
        <v>0</v>
      </c>
      <c r="I61" s="29">
        <v>-282.68</v>
      </c>
      <c r="J61" s="7" t="str">
        <f t="shared" si="0"/>
        <v xml:space="preserve"> </v>
      </c>
      <c r="K61" s="29">
        <v>0</v>
      </c>
      <c r="L61" s="29">
        <v>282.68</v>
      </c>
      <c r="M61" s="29">
        <v>-282.68</v>
      </c>
      <c r="N61" s="7">
        <f t="shared" si="1"/>
        <v>1</v>
      </c>
      <c r="O61" s="29">
        <v>0</v>
      </c>
      <c r="P61" s="8">
        <f t="shared" si="2"/>
        <v>-282.68</v>
      </c>
    </row>
    <row r="62" spans="1:16" x14ac:dyDescent="0.2">
      <c r="A62" s="26" t="s">
        <v>310</v>
      </c>
      <c r="B62" s="12" t="s">
        <v>189</v>
      </c>
      <c r="C62" s="12" t="s">
        <v>214</v>
      </c>
      <c r="D62" s="27" t="s">
        <v>215</v>
      </c>
      <c r="E62" s="28" t="s">
        <v>77</v>
      </c>
      <c r="F62" s="29">
        <v>200000</v>
      </c>
      <c r="G62" s="29">
        <v>0</v>
      </c>
      <c r="H62" s="29">
        <v>200000</v>
      </c>
      <c r="I62" s="29">
        <v>41495.03</v>
      </c>
      <c r="J62" s="7">
        <f t="shared" si="0"/>
        <v>0.20747515</v>
      </c>
      <c r="K62" s="29">
        <v>19.53</v>
      </c>
      <c r="L62" s="29">
        <v>0</v>
      </c>
      <c r="M62" s="29">
        <v>19.53</v>
      </c>
      <c r="N62" s="7">
        <f t="shared" si="1"/>
        <v>4.7065877527983473E-4</v>
      </c>
      <c r="O62" s="29">
        <v>41475.5</v>
      </c>
      <c r="P62" s="8">
        <f t="shared" si="2"/>
        <v>-158504.97</v>
      </c>
    </row>
    <row r="63" spans="1:16" x14ac:dyDescent="0.2">
      <c r="A63" s="26" t="s">
        <v>311</v>
      </c>
      <c r="B63" s="12" t="s">
        <v>189</v>
      </c>
      <c r="C63" s="12" t="s">
        <v>214</v>
      </c>
      <c r="D63" s="27" t="s">
        <v>216</v>
      </c>
      <c r="E63" s="28" t="s">
        <v>78</v>
      </c>
      <c r="F63" s="29">
        <v>5000000</v>
      </c>
      <c r="G63" s="29">
        <v>0</v>
      </c>
      <c r="H63" s="29">
        <v>5000000</v>
      </c>
      <c r="I63" s="29">
        <v>596324.26</v>
      </c>
      <c r="J63" s="7">
        <f t="shared" si="0"/>
        <v>0.119264852</v>
      </c>
      <c r="K63" s="29">
        <v>607601.66</v>
      </c>
      <c r="L63" s="29">
        <v>11277.4</v>
      </c>
      <c r="M63" s="29">
        <v>596324.26</v>
      </c>
      <c r="N63" s="7">
        <f t="shared" si="1"/>
        <v>1</v>
      </c>
      <c r="O63" s="29">
        <v>0</v>
      </c>
      <c r="P63" s="8">
        <f t="shared" si="2"/>
        <v>-4403675.74</v>
      </c>
    </row>
    <row r="64" spans="1:16" x14ac:dyDescent="0.2">
      <c r="A64" s="26" t="s">
        <v>312</v>
      </c>
      <c r="B64" s="12" t="s">
        <v>189</v>
      </c>
      <c r="C64" s="12" t="s">
        <v>214</v>
      </c>
      <c r="D64" s="27" t="s">
        <v>216</v>
      </c>
      <c r="E64" s="28" t="s">
        <v>79</v>
      </c>
      <c r="F64" s="29">
        <v>25000</v>
      </c>
      <c r="G64" s="29">
        <v>0</v>
      </c>
      <c r="H64" s="29">
        <v>25000</v>
      </c>
      <c r="I64" s="29">
        <v>2519.94</v>
      </c>
      <c r="J64" s="7">
        <f t="shared" si="0"/>
        <v>0.1007976</v>
      </c>
      <c r="K64" s="29">
        <v>2413.06</v>
      </c>
      <c r="L64" s="29">
        <v>18.079999999999998</v>
      </c>
      <c r="M64" s="29">
        <v>2394.98</v>
      </c>
      <c r="N64" s="7">
        <f t="shared" si="1"/>
        <v>0.95041151773454924</v>
      </c>
      <c r="O64" s="29">
        <v>124.96</v>
      </c>
      <c r="P64" s="8">
        <f t="shared" si="2"/>
        <v>-22480.06</v>
      </c>
    </row>
    <row r="65" spans="1:16" x14ac:dyDescent="0.2">
      <c r="A65" s="26" t="s">
        <v>313</v>
      </c>
      <c r="B65" s="12" t="s">
        <v>189</v>
      </c>
      <c r="C65" s="12" t="s">
        <v>214</v>
      </c>
      <c r="D65" s="27" t="s">
        <v>216</v>
      </c>
      <c r="E65" s="28" t="s">
        <v>80</v>
      </c>
      <c r="F65" s="29">
        <v>185000</v>
      </c>
      <c r="G65" s="29">
        <v>0</v>
      </c>
      <c r="H65" s="29">
        <v>185000</v>
      </c>
      <c r="I65" s="29">
        <v>6419.22</v>
      </c>
      <c r="J65" s="7">
        <f t="shared" si="0"/>
        <v>3.4698486486486491E-2</v>
      </c>
      <c r="K65" s="29">
        <v>7309.76</v>
      </c>
      <c r="L65" s="29">
        <v>890.54</v>
      </c>
      <c r="M65" s="29">
        <v>6419.22</v>
      </c>
      <c r="N65" s="7">
        <f t="shared" si="1"/>
        <v>1</v>
      </c>
      <c r="O65" s="29">
        <v>0</v>
      </c>
      <c r="P65" s="8">
        <f t="shared" si="2"/>
        <v>-178580.78</v>
      </c>
    </row>
    <row r="66" spans="1:16" x14ac:dyDescent="0.2">
      <c r="A66" s="26" t="s">
        <v>314</v>
      </c>
      <c r="B66" s="12" t="s">
        <v>189</v>
      </c>
      <c r="C66" s="12" t="s">
        <v>214</v>
      </c>
      <c r="D66" s="27" t="s">
        <v>217</v>
      </c>
      <c r="E66" s="28" t="s">
        <v>81</v>
      </c>
      <c r="F66" s="29">
        <v>1200000</v>
      </c>
      <c r="G66" s="29">
        <v>0</v>
      </c>
      <c r="H66" s="29">
        <v>1200000</v>
      </c>
      <c r="I66" s="29">
        <v>96938.25</v>
      </c>
      <c r="J66" s="7">
        <f t="shared" si="0"/>
        <v>8.0781875000000003E-2</v>
      </c>
      <c r="K66" s="29">
        <v>147876.97</v>
      </c>
      <c r="L66" s="29">
        <v>50938.720000000001</v>
      </c>
      <c r="M66" s="29">
        <v>96938.25</v>
      </c>
      <c r="N66" s="7">
        <f t="shared" si="1"/>
        <v>1</v>
      </c>
      <c r="O66" s="29">
        <v>0</v>
      </c>
      <c r="P66" s="8">
        <f t="shared" si="2"/>
        <v>-1103061.75</v>
      </c>
    </row>
    <row r="67" spans="1:16" x14ac:dyDescent="0.2">
      <c r="A67" s="26" t="s">
        <v>315</v>
      </c>
      <c r="B67" s="12" t="s">
        <v>189</v>
      </c>
      <c r="C67" s="12" t="s">
        <v>214</v>
      </c>
      <c r="D67" s="27" t="s">
        <v>218</v>
      </c>
      <c r="E67" s="28" t="s">
        <v>82</v>
      </c>
      <c r="F67" s="29">
        <v>500000</v>
      </c>
      <c r="G67" s="29">
        <v>0</v>
      </c>
      <c r="H67" s="29">
        <v>500000</v>
      </c>
      <c r="I67" s="29">
        <v>58370.2</v>
      </c>
      <c r="J67" s="7">
        <f t="shared" si="0"/>
        <v>0.11674039999999999</v>
      </c>
      <c r="K67" s="29">
        <v>58205.71</v>
      </c>
      <c r="L67" s="29">
        <v>4373.8599999999997</v>
      </c>
      <c r="M67" s="29">
        <v>53831.85</v>
      </c>
      <c r="N67" s="7">
        <f t="shared" si="1"/>
        <v>0.92224885301061155</v>
      </c>
      <c r="O67" s="29">
        <v>4538.3500000000004</v>
      </c>
      <c r="P67" s="8">
        <f t="shared" si="2"/>
        <v>-441629.8</v>
      </c>
    </row>
    <row r="68" spans="1:16" x14ac:dyDescent="0.2">
      <c r="A68" s="26" t="s">
        <v>316</v>
      </c>
      <c r="B68" s="12" t="s">
        <v>189</v>
      </c>
      <c r="C68" s="12" t="s">
        <v>214</v>
      </c>
      <c r="D68" s="27" t="s">
        <v>219</v>
      </c>
      <c r="E68" s="28" t="s">
        <v>83</v>
      </c>
      <c r="F68" s="29">
        <v>1408000</v>
      </c>
      <c r="G68" s="29">
        <v>0</v>
      </c>
      <c r="H68" s="29">
        <v>1408000</v>
      </c>
      <c r="I68" s="29">
        <v>805067.87</v>
      </c>
      <c r="J68" s="7">
        <f t="shared" si="0"/>
        <v>0.57178115767045457</v>
      </c>
      <c r="K68" s="29">
        <v>805067.87</v>
      </c>
      <c r="L68" s="29">
        <v>0</v>
      </c>
      <c r="M68" s="29">
        <v>805067.87</v>
      </c>
      <c r="N68" s="7">
        <f t="shared" si="1"/>
        <v>1</v>
      </c>
      <c r="O68" s="29">
        <v>0</v>
      </c>
      <c r="P68" s="8">
        <f t="shared" si="2"/>
        <v>-602932.13</v>
      </c>
    </row>
    <row r="69" spans="1:16" x14ac:dyDescent="0.2">
      <c r="A69" s="26" t="s">
        <v>317</v>
      </c>
      <c r="B69" s="12" t="s">
        <v>189</v>
      </c>
      <c r="C69" s="12" t="s">
        <v>214</v>
      </c>
      <c r="D69" s="27" t="s">
        <v>220</v>
      </c>
      <c r="E69" s="28" t="s">
        <v>164</v>
      </c>
      <c r="F69" s="29">
        <v>0</v>
      </c>
      <c r="G69" s="29">
        <v>0</v>
      </c>
      <c r="H69" s="29">
        <v>0</v>
      </c>
      <c r="I69" s="29">
        <v>5654.75</v>
      </c>
      <c r="J69" s="7" t="str">
        <f t="shared" si="0"/>
        <v xml:space="preserve"> </v>
      </c>
      <c r="K69" s="29">
        <v>5654.75</v>
      </c>
      <c r="L69" s="29">
        <v>0</v>
      </c>
      <c r="M69" s="29">
        <v>5654.75</v>
      </c>
      <c r="N69" s="7">
        <f t="shared" si="1"/>
        <v>1</v>
      </c>
      <c r="O69" s="29">
        <v>0</v>
      </c>
      <c r="P69" s="8">
        <f t="shared" si="2"/>
        <v>5654.75</v>
      </c>
    </row>
    <row r="70" spans="1:16" x14ac:dyDescent="0.2">
      <c r="A70" s="26" t="s">
        <v>318</v>
      </c>
      <c r="B70" s="12" t="s">
        <v>189</v>
      </c>
      <c r="C70" s="12" t="s">
        <v>214</v>
      </c>
      <c r="D70" s="27" t="s">
        <v>220</v>
      </c>
      <c r="E70" s="28" t="s">
        <v>84</v>
      </c>
      <c r="F70" s="29">
        <v>0</v>
      </c>
      <c r="G70" s="29">
        <v>0</v>
      </c>
      <c r="H70" s="29">
        <v>0</v>
      </c>
      <c r="I70" s="29">
        <v>1844.6</v>
      </c>
      <c r="J70" s="7" t="str">
        <f t="shared" si="0"/>
        <v xml:space="preserve"> </v>
      </c>
      <c r="K70" s="29">
        <v>1344.6</v>
      </c>
      <c r="L70" s="29">
        <v>0</v>
      </c>
      <c r="M70" s="29">
        <v>1344.6</v>
      </c>
      <c r="N70" s="7">
        <f t="shared" si="1"/>
        <v>0.72893852325707464</v>
      </c>
      <c r="O70" s="29">
        <v>500</v>
      </c>
      <c r="P70" s="8">
        <f t="shared" si="2"/>
        <v>1844.6</v>
      </c>
    </row>
    <row r="71" spans="1:16" x14ac:dyDescent="0.2">
      <c r="A71" s="26" t="s">
        <v>319</v>
      </c>
      <c r="B71" s="12" t="s">
        <v>189</v>
      </c>
      <c r="C71" s="12" t="s">
        <v>214</v>
      </c>
      <c r="D71" s="27" t="s">
        <v>220</v>
      </c>
      <c r="E71" s="28" t="s">
        <v>85</v>
      </c>
      <c r="F71" s="29">
        <v>225000</v>
      </c>
      <c r="G71" s="29">
        <v>0</v>
      </c>
      <c r="H71" s="29">
        <v>225000</v>
      </c>
      <c r="I71" s="29">
        <v>104602.15</v>
      </c>
      <c r="J71" s="7">
        <f t="shared" ref="J71:J128" si="3">IF(H71=0," ",I71/H71)</f>
        <v>0.46489844444444439</v>
      </c>
      <c r="K71" s="29">
        <v>104602.19</v>
      </c>
      <c r="L71" s="29">
        <v>0.04</v>
      </c>
      <c r="M71" s="29">
        <v>104602.15</v>
      </c>
      <c r="N71" s="7">
        <f t="shared" ref="N71:N128" si="4">IF(I71=0," ",M71/I71)</f>
        <v>1</v>
      </c>
      <c r="O71" s="29">
        <v>0</v>
      </c>
      <c r="P71" s="8">
        <f t="shared" ref="P71:P128" si="5">I71-H71</f>
        <v>-120397.85</v>
      </c>
    </row>
    <row r="72" spans="1:16" x14ac:dyDescent="0.2">
      <c r="A72" s="26" t="s">
        <v>320</v>
      </c>
      <c r="B72" s="12" t="s">
        <v>189</v>
      </c>
      <c r="C72" s="12" t="s">
        <v>214</v>
      </c>
      <c r="D72" s="27" t="s">
        <v>220</v>
      </c>
      <c r="E72" s="28" t="s">
        <v>86</v>
      </c>
      <c r="F72" s="29">
        <v>10000</v>
      </c>
      <c r="G72" s="29">
        <v>0</v>
      </c>
      <c r="H72" s="29">
        <v>10000</v>
      </c>
      <c r="I72" s="29">
        <v>0</v>
      </c>
      <c r="J72" s="7">
        <f t="shared" si="3"/>
        <v>0</v>
      </c>
      <c r="K72" s="29">
        <v>0</v>
      </c>
      <c r="L72" s="29">
        <v>0</v>
      </c>
      <c r="M72" s="29">
        <v>0</v>
      </c>
      <c r="N72" s="7" t="str">
        <f t="shared" si="4"/>
        <v xml:space="preserve"> </v>
      </c>
      <c r="O72" s="29">
        <v>0</v>
      </c>
      <c r="P72" s="8">
        <f t="shared" si="5"/>
        <v>-10000</v>
      </c>
    </row>
    <row r="73" spans="1:16" x14ac:dyDescent="0.2">
      <c r="A73" s="26" t="s">
        <v>321</v>
      </c>
      <c r="B73" s="12" t="s">
        <v>189</v>
      </c>
      <c r="C73" s="12" t="s">
        <v>214</v>
      </c>
      <c r="D73" s="27" t="s">
        <v>220</v>
      </c>
      <c r="E73" s="28" t="s">
        <v>134</v>
      </c>
      <c r="F73" s="29">
        <v>0</v>
      </c>
      <c r="G73" s="29">
        <v>0</v>
      </c>
      <c r="H73" s="29">
        <v>0</v>
      </c>
      <c r="I73" s="29">
        <v>957.27</v>
      </c>
      <c r="J73" s="7" t="str">
        <f t="shared" si="3"/>
        <v xml:space="preserve"> </v>
      </c>
      <c r="K73" s="29">
        <v>957.27</v>
      </c>
      <c r="L73" s="29">
        <v>0</v>
      </c>
      <c r="M73" s="29">
        <v>957.27</v>
      </c>
      <c r="N73" s="7">
        <f t="shared" si="4"/>
        <v>1</v>
      </c>
      <c r="O73" s="29">
        <v>0</v>
      </c>
      <c r="P73" s="8">
        <f t="shared" si="5"/>
        <v>957.27</v>
      </c>
    </row>
    <row r="74" spans="1:16" x14ac:dyDescent="0.2">
      <c r="A74" s="26" t="s">
        <v>322</v>
      </c>
      <c r="B74" s="12" t="s">
        <v>189</v>
      </c>
      <c r="C74" s="12" t="s">
        <v>214</v>
      </c>
      <c r="D74" s="27" t="s">
        <v>220</v>
      </c>
      <c r="E74" s="28" t="s">
        <v>87</v>
      </c>
      <c r="F74" s="29">
        <v>16000</v>
      </c>
      <c r="G74" s="29">
        <v>0</v>
      </c>
      <c r="H74" s="29">
        <v>16000</v>
      </c>
      <c r="I74" s="29">
        <v>4503.8900000000003</v>
      </c>
      <c r="J74" s="7">
        <f t="shared" si="3"/>
        <v>0.28149312500000001</v>
      </c>
      <c r="K74" s="29">
        <v>3674.78</v>
      </c>
      <c r="L74" s="29">
        <v>0</v>
      </c>
      <c r="M74" s="29">
        <v>3674.78</v>
      </c>
      <c r="N74" s="7">
        <f t="shared" si="4"/>
        <v>0.81591246677871798</v>
      </c>
      <c r="O74" s="29">
        <v>829.11</v>
      </c>
      <c r="P74" s="8">
        <f t="shared" si="5"/>
        <v>-11496.11</v>
      </c>
    </row>
    <row r="75" spans="1:16" x14ac:dyDescent="0.2">
      <c r="A75" s="26" t="s">
        <v>323</v>
      </c>
      <c r="B75" s="12" t="s">
        <v>221</v>
      </c>
      <c r="C75" s="12" t="s">
        <v>222</v>
      </c>
      <c r="D75" s="27" t="s">
        <v>223</v>
      </c>
      <c r="E75" s="28" t="s">
        <v>88</v>
      </c>
      <c r="F75" s="29">
        <v>1000</v>
      </c>
      <c r="G75" s="29">
        <v>0</v>
      </c>
      <c r="H75" s="29">
        <v>1000</v>
      </c>
      <c r="I75" s="29">
        <v>0</v>
      </c>
      <c r="J75" s="7">
        <f t="shared" si="3"/>
        <v>0</v>
      </c>
      <c r="K75" s="29">
        <v>0</v>
      </c>
      <c r="L75" s="29">
        <v>0</v>
      </c>
      <c r="M75" s="29">
        <v>0</v>
      </c>
      <c r="N75" s="7" t="str">
        <f t="shared" si="4"/>
        <v xml:space="preserve"> </v>
      </c>
      <c r="O75" s="29">
        <v>0</v>
      </c>
      <c r="P75" s="8">
        <f t="shared" si="5"/>
        <v>-1000</v>
      </c>
    </row>
    <row r="76" spans="1:16" x14ac:dyDescent="0.2">
      <c r="A76" s="26" t="s">
        <v>324</v>
      </c>
      <c r="B76" s="12" t="s">
        <v>221</v>
      </c>
      <c r="C76" s="12" t="s">
        <v>222</v>
      </c>
      <c r="D76" s="27" t="s">
        <v>223</v>
      </c>
      <c r="E76" s="28" t="s">
        <v>382</v>
      </c>
      <c r="F76" s="29">
        <v>0</v>
      </c>
      <c r="G76" s="29">
        <v>0</v>
      </c>
      <c r="H76" s="29">
        <v>0</v>
      </c>
      <c r="I76" s="29">
        <v>1354.3</v>
      </c>
      <c r="J76" s="7" t="str">
        <f t="shared" si="3"/>
        <v xml:space="preserve"> </v>
      </c>
      <c r="K76" s="29">
        <v>1354.3</v>
      </c>
      <c r="L76" s="29">
        <v>0</v>
      </c>
      <c r="M76" s="29">
        <v>1354.3</v>
      </c>
      <c r="N76" s="7">
        <f t="shared" si="4"/>
        <v>1</v>
      </c>
      <c r="O76" s="29">
        <v>0</v>
      </c>
      <c r="P76" s="8">
        <f t="shared" si="5"/>
        <v>1354.3</v>
      </c>
    </row>
    <row r="77" spans="1:16" x14ac:dyDescent="0.2">
      <c r="A77" s="26" t="s">
        <v>325</v>
      </c>
      <c r="B77" s="12" t="s">
        <v>221</v>
      </c>
      <c r="C77" s="12" t="s">
        <v>222</v>
      </c>
      <c r="D77" s="27" t="s">
        <v>223</v>
      </c>
      <c r="E77" s="28" t="s">
        <v>160</v>
      </c>
      <c r="F77" s="29">
        <v>0</v>
      </c>
      <c r="G77" s="29">
        <v>0</v>
      </c>
      <c r="H77" s="29">
        <v>0</v>
      </c>
      <c r="I77" s="29">
        <v>3149792.42</v>
      </c>
      <c r="J77" s="7" t="str">
        <f t="shared" si="3"/>
        <v xml:space="preserve"> </v>
      </c>
      <c r="K77" s="29">
        <v>3149792.42</v>
      </c>
      <c r="L77" s="29">
        <v>0</v>
      </c>
      <c r="M77" s="29">
        <v>3149792.42</v>
      </c>
      <c r="N77" s="7">
        <f t="shared" si="4"/>
        <v>1</v>
      </c>
      <c r="O77" s="29">
        <v>0</v>
      </c>
      <c r="P77" s="8">
        <f t="shared" si="5"/>
        <v>3149792.42</v>
      </c>
    </row>
    <row r="78" spans="1:16" x14ac:dyDescent="0.2">
      <c r="A78" s="26" t="s">
        <v>326</v>
      </c>
      <c r="B78" s="12" t="s">
        <v>221</v>
      </c>
      <c r="C78" s="12" t="s">
        <v>222</v>
      </c>
      <c r="D78" s="27" t="s">
        <v>223</v>
      </c>
      <c r="E78" s="28" t="s">
        <v>135</v>
      </c>
      <c r="F78" s="29">
        <v>234447</v>
      </c>
      <c r="G78" s="29">
        <v>0</v>
      </c>
      <c r="H78" s="29">
        <v>234447</v>
      </c>
      <c r="I78" s="29">
        <v>0</v>
      </c>
      <c r="J78" s="7">
        <f t="shared" si="3"/>
        <v>0</v>
      </c>
      <c r="K78" s="29">
        <v>0</v>
      </c>
      <c r="L78" s="29">
        <v>0</v>
      </c>
      <c r="M78" s="29">
        <v>0</v>
      </c>
      <c r="N78" s="7" t="str">
        <f t="shared" si="4"/>
        <v xml:space="preserve"> </v>
      </c>
      <c r="O78" s="29">
        <v>0</v>
      </c>
      <c r="P78" s="8">
        <f t="shared" si="5"/>
        <v>-234447</v>
      </c>
    </row>
    <row r="79" spans="1:16" x14ac:dyDescent="0.2">
      <c r="A79" s="26" t="s">
        <v>327</v>
      </c>
      <c r="B79" s="12" t="s">
        <v>221</v>
      </c>
      <c r="C79" s="12" t="s">
        <v>222</v>
      </c>
      <c r="D79" s="27" t="s">
        <v>223</v>
      </c>
      <c r="E79" s="28" t="s">
        <v>89</v>
      </c>
      <c r="F79" s="29">
        <v>91066743</v>
      </c>
      <c r="G79" s="29">
        <v>0</v>
      </c>
      <c r="H79" s="29">
        <v>91066743</v>
      </c>
      <c r="I79" s="29">
        <v>25489024.809999999</v>
      </c>
      <c r="J79" s="7">
        <f t="shared" si="3"/>
        <v>0.27989388848572305</v>
      </c>
      <c r="K79" s="29">
        <v>28801318.41</v>
      </c>
      <c r="L79" s="29">
        <v>3393544.19</v>
      </c>
      <c r="M79" s="29">
        <v>25407774.219999999</v>
      </c>
      <c r="N79" s="7">
        <f t="shared" si="4"/>
        <v>0.99681233038118733</v>
      </c>
      <c r="O79" s="29">
        <v>81250.59</v>
      </c>
      <c r="P79" s="8">
        <f t="shared" si="5"/>
        <v>-65577718.189999998</v>
      </c>
    </row>
    <row r="80" spans="1:16" x14ac:dyDescent="0.2">
      <c r="A80" s="26" t="s">
        <v>328</v>
      </c>
      <c r="B80" s="12" t="s">
        <v>221</v>
      </c>
      <c r="C80" s="12" t="s">
        <v>222</v>
      </c>
      <c r="D80" s="27" t="s">
        <v>223</v>
      </c>
      <c r="E80" s="28" t="s">
        <v>136</v>
      </c>
      <c r="F80" s="29">
        <v>19422374</v>
      </c>
      <c r="G80" s="29">
        <v>0</v>
      </c>
      <c r="H80" s="29">
        <v>19422374</v>
      </c>
      <c r="I80" s="29">
        <v>0</v>
      </c>
      <c r="J80" s="7">
        <f t="shared" si="3"/>
        <v>0</v>
      </c>
      <c r="K80" s="29">
        <v>0</v>
      </c>
      <c r="L80" s="29">
        <v>0</v>
      </c>
      <c r="M80" s="29">
        <v>0</v>
      </c>
      <c r="N80" s="7" t="str">
        <f t="shared" si="4"/>
        <v xml:space="preserve"> </v>
      </c>
      <c r="O80" s="29">
        <v>0</v>
      </c>
      <c r="P80" s="8">
        <f t="shared" si="5"/>
        <v>-19422374</v>
      </c>
    </row>
    <row r="81" spans="1:16" x14ac:dyDescent="0.2">
      <c r="A81" s="26" t="s">
        <v>329</v>
      </c>
      <c r="B81" s="12" t="s">
        <v>221</v>
      </c>
      <c r="C81" s="12" t="s">
        <v>222</v>
      </c>
      <c r="D81" s="27" t="s">
        <v>223</v>
      </c>
      <c r="E81" s="28" t="s">
        <v>90</v>
      </c>
      <c r="F81" s="29">
        <v>1500000</v>
      </c>
      <c r="G81" s="29">
        <v>1859267.59</v>
      </c>
      <c r="H81" s="29">
        <v>3359267.59</v>
      </c>
      <c r="I81" s="29">
        <v>1859267.59</v>
      </c>
      <c r="J81" s="7">
        <f t="shared" si="3"/>
        <v>0.55347409522681112</v>
      </c>
      <c r="K81" s="29">
        <v>1859267.59</v>
      </c>
      <c r="L81" s="29">
        <v>0</v>
      </c>
      <c r="M81" s="29">
        <v>1859267.59</v>
      </c>
      <c r="N81" s="7">
        <f t="shared" si="4"/>
        <v>1</v>
      </c>
      <c r="O81" s="29">
        <v>0</v>
      </c>
      <c r="P81" s="8">
        <f t="shared" si="5"/>
        <v>-1499999.9999999998</v>
      </c>
    </row>
    <row r="82" spans="1:16" x14ac:dyDescent="0.2">
      <c r="A82" s="26" t="s">
        <v>330</v>
      </c>
      <c r="B82" s="12" t="s">
        <v>221</v>
      </c>
      <c r="C82" s="12" t="s">
        <v>222</v>
      </c>
      <c r="D82" s="27" t="s">
        <v>223</v>
      </c>
      <c r="E82" s="28" t="s">
        <v>137</v>
      </c>
      <c r="F82" s="29">
        <v>69000</v>
      </c>
      <c r="G82" s="29">
        <v>0</v>
      </c>
      <c r="H82" s="29">
        <v>69000</v>
      </c>
      <c r="I82" s="29">
        <v>0</v>
      </c>
      <c r="J82" s="7">
        <f t="shared" si="3"/>
        <v>0</v>
      </c>
      <c r="K82" s="29">
        <v>0</v>
      </c>
      <c r="L82" s="29">
        <v>0</v>
      </c>
      <c r="M82" s="29">
        <v>0</v>
      </c>
      <c r="N82" s="7" t="str">
        <f t="shared" si="4"/>
        <v xml:space="preserve"> </v>
      </c>
      <c r="O82" s="29">
        <v>0</v>
      </c>
      <c r="P82" s="8">
        <f t="shared" si="5"/>
        <v>-69000</v>
      </c>
    </row>
    <row r="83" spans="1:16" x14ac:dyDescent="0.2">
      <c r="A83" s="26" t="s">
        <v>331</v>
      </c>
      <c r="B83" s="12" t="s">
        <v>221</v>
      </c>
      <c r="C83" s="12" t="s">
        <v>222</v>
      </c>
      <c r="D83" s="27" t="s">
        <v>223</v>
      </c>
      <c r="E83" s="28" t="s">
        <v>138</v>
      </c>
      <c r="F83" s="29">
        <v>131000</v>
      </c>
      <c r="G83" s="29">
        <v>0</v>
      </c>
      <c r="H83" s="29">
        <v>131000</v>
      </c>
      <c r="I83" s="29">
        <v>65717.09</v>
      </c>
      <c r="J83" s="7">
        <f t="shared" si="3"/>
        <v>0.5016571755725191</v>
      </c>
      <c r="K83" s="29">
        <v>65717.09</v>
      </c>
      <c r="L83" s="29">
        <v>0</v>
      </c>
      <c r="M83" s="29">
        <v>65717.09</v>
      </c>
      <c r="N83" s="7">
        <f t="shared" si="4"/>
        <v>1</v>
      </c>
      <c r="O83" s="29">
        <v>0</v>
      </c>
      <c r="P83" s="8">
        <f t="shared" si="5"/>
        <v>-65282.91</v>
      </c>
    </row>
    <row r="84" spans="1:16" x14ac:dyDescent="0.2">
      <c r="A84" s="26" t="s">
        <v>332</v>
      </c>
      <c r="B84" s="12" t="s">
        <v>221</v>
      </c>
      <c r="C84" s="12" t="s">
        <v>222</v>
      </c>
      <c r="D84" s="27" t="s">
        <v>223</v>
      </c>
      <c r="E84" s="28" t="s">
        <v>139</v>
      </c>
      <c r="F84" s="29">
        <v>20000</v>
      </c>
      <c r="G84" s="29">
        <v>0</v>
      </c>
      <c r="H84" s="29">
        <v>20000</v>
      </c>
      <c r="I84" s="29">
        <v>0</v>
      </c>
      <c r="J84" s="7">
        <f t="shared" si="3"/>
        <v>0</v>
      </c>
      <c r="K84" s="29">
        <v>0</v>
      </c>
      <c r="L84" s="29">
        <v>0</v>
      </c>
      <c r="M84" s="29">
        <v>0</v>
      </c>
      <c r="N84" s="7" t="str">
        <f t="shared" si="4"/>
        <v xml:space="preserve"> </v>
      </c>
      <c r="O84" s="29">
        <v>0</v>
      </c>
      <c r="P84" s="8">
        <f t="shared" si="5"/>
        <v>-20000</v>
      </c>
    </row>
    <row r="85" spans="1:16" x14ac:dyDescent="0.2">
      <c r="A85" s="26" t="s">
        <v>333</v>
      </c>
      <c r="B85" s="12" t="s">
        <v>221</v>
      </c>
      <c r="C85" s="12" t="s">
        <v>224</v>
      </c>
      <c r="D85" s="27" t="s">
        <v>225</v>
      </c>
      <c r="E85" s="28" t="s">
        <v>140</v>
      </c>
      <c r="F85" s="29">
        <v>25000</v>
      </c>
      <c r="G85" s="29">
        <v>0</v>
      </c>
      <c r="H85" s="29">
        <v>25000</v>
      </c>
      <c r="I85" s="29">
        <v>0</v>
      </c>
      <c r="J85" s="7">
        <f t="shared" si="3"/>
        <v>0</v>
      </c>
      <c r="K85" s="29">
        <v>0</v>
      </c>
      <c r="L85" s="29">
        <v>0</v>
      </c>
      <c r="M85" s="29">
        <v>0</v>
      </c>
      <c r="N85" s="7" t="str">
        <f t="shared" si="4"/>
        <v xml:space="preserve"> </v>
      </c>
      <c r="O85" s="29">
        <v>0</v>
      </c>
      <c r="P85" s="8">
        <f t="shared" si="5"/>
        <v>-25000</v>
      </c>
    </row>
    <row r="86" spans="1:16" x14ac:dyDescent="0.2">
      <c r="A86" s="26" t="s">
        <v>334</v>
      </c>
      <c r="B86" s="12" t="s">
        <v>221</v>
      </c>
      <c r="C86" s="12" t="s">
        <v>224</v>
      </c>
      <c r="D86" s="27" t="s">
        <v>225</v>
      </c>
      <c r="E86" s="28" t="s">
        <v>383</v>
      </c>
      <c r="F86" s="29">
        <v>0</v>
      </c>
      <c r="G86" s="29">
        <v>0</v>
      </c>
      <c r="H86" s="29">
        <v>0</v>
      </c>
      <c r="I86" s="29">
        <v>0</v>
      </c>
      <c r="J86" s="7" t="str">
        <f t="shared" si="3"/>
        <v xml:space="preserve"> </v>
      </c>
      <c r="K86" s="29">
        <v>0</v>
      </c>
      <c r="L86" s="29">
        <v>0</v>
      </c>
      <c r="M86" s="29">
        <v>0</v>
      </c>
      <c r="N86" s="7" t="str">
        <f t="shared" si="4"/>
        <v xml:space="preserve"> </v>
      </c>
      <c r="O86" s="29">
        <v>0</v>
      </c>
      <c r="P86" s="8">
        <f t="shared" si="5"/>
        <v>0</v>
      </c>
    </row>
    <row r="87" spans="1:16" x14ac:dyDescent="0.2">
      <c r="A87" s="26" t="s">
        <v>335</v>
      </c>
      <c r="B87" s="12" t="s">
        <v>221</v>
      </c>
      <c r="C87" s="12" t="s">
        <v>224</v>
      </c>
      <c r="D87" s="27" t="s">
        <v>225</v>
      </c>
      <c r="E87" s="28" t="s">
        <v>165</v>
      </c>
      <c r="F87" s="29">
        <v>0</v>
      </c>
      <c r="G87" s="29">
        <v>0</v>
      </c>
      <c r="H87" s="29">
        <v>0</v>
      </c>
      <c r="I87" s="29">
        <v>25000</v>
      </c>
      <c r="J87" s="7" t="str">
        <f t="shared" si="3"/>
        <v xml:space="preserve"> </v>
      </c>
      <c r="K87" s="29">
        <v>25000</v>
      </c>
      <c r="L87" s="29">
        <v>0</v>
      </c>
      <c r="M87" s="29">
        <v>25000</v>
      </c>
      <c r="N87" s="7">
        <f t="shared" si="4"/>
        <v>1</v>
      </c>
      <c r="O87" s="29">
        <v>0</v>
      </c>
      <c r="P87" s="8">
        <f t="shared" si="5"/>
        <v>25000</v>
      </c>
    </row>
    <row r="88" spans="1:16" x14ac:dyDescent="0.2">
      <c r="A88" s="26" t="s">
        <v>336</v>
      </c>
      <c r="B88" s="12" t="s">
        <v>221</v>
      </c>
      <c r="C88" s="12" t="s">
        <v>224</v>
      </c>
      <c r="D88" s="27" t="s">
        <v>225</v>
      </c>
      <c r="E88" s="28" t="s">
        <v>141</v>
      </c>
      <c r="F88" s="29">
        <v>597883</v>
      </c>
      <c r="G88" s="29">
        <v>0</v>
      </c>
      <c r="H88" s="29">
        <v>597883</v>
      </c>
      <c r="I88" s="29">
        <v>0</v>
      </c>
      <c r="J88" s="7">
        <f t="shared" si="3"/>
        <v>0</v>
      </c>
      <c r="K88" s="29">
        <v>0</v>
      </c>
      <c r="L88" s="29">
        <v>0</v>
      </c>
      <c r="M88" s="29">
        <v>0</v>
      </c>
      <c r="N88" s="7" t="str">
        <f t="shared" si="4"/>
        <v xml:space="preserve"> </v>
      </c>
      <c r="O88" s="29">
        <v>0</v>
      </c>
      <c r="P88" s="8">
        <f t="shared" si="5"/>
        <v>-597883</v>
      </c>
    </row>
    <row r="89" spans="1:16" x14ac:dyDescent="0.2">
      <c r="A89" s="26" t="s">
        <v>337</v>
      </c>
      <c r="B89" s="12" t="s">
        <v>221</v>
      </c>
      <c r="C89" s="12" t="s">
        <v>224</v>
      </c>
      <c r="D89" s="27" t="s">
        <v>225</v>
      </c>
      <c r="E89" s="28" t="s">
        <v>91</v>
      </c>
      <c r="F89" s="29">
        <v>10508800</v>
      </c>
      <c r="G89" s="29">
        <v>0</v>
      </c>
      <c r="H89" s="29">
        <v>10508800</v>
      </c>
      <c r="I89" s="29">
        <v>1819320.15</v>
      </c>
      <c r="J89" s="7">
        <f t="shared" si="3"/>
        <v>0.17312349174025576</v>
      </c>
      <c r="K89" s="29">
        <v>1819320.15</v>
      </c>
      <c r="L89" s="29">
        <v>0</v>
      </c>
      <c r="M89" s="29">
        <v>1819320.15</v>
      </c>
      <c r="N89" s="7">
        <f t="shared" si="4"/>
        <v>1</v>
      </c>
      <c r="O89" s="29">
        <v>0</v>
      </c>
      <c r="P89" s="8">
        <f t="shared" si="5"/>
        <v>-8689479.8499999996</v>
      </c>
    </row>
    <row r="90" spans="1:16" x14ac:dyDescent="0.2">
      <c r="A90" s="26" t="s">
        <v>338</v>
      </c>
      <c r="B90" s="12" t="s">
        <v>221</v>
      </c>
      <c r="C90" s="12" t="s">
        <v>224</v>
      </c>
      <c r="D90" s="27" t="s">
        <v>225</v>
      </c>
      <c r="E90" s="28" t="s">
        <v>92</v>
      </c>
      <c r="F90" s="29">
        <v>3243068</v>
      </c>
      <c r="G90" s="29">
        <v>0</v>
      </c>
      <c r="H90" s="29">
        <v>3243068</v>
      </c>
      <c r="I90" s="29">
        <v>167240.74</v>
      </c>
      <c r="J90" s="7">
        <f t="shared" si="3"/>
        <v>5.156868126107747E-2</v>
      </c>
      <c r="K90" s="29">
        <v>167240.74</v>
      </c>
      <c r="L90" s="29">
        <v>0</v>
      </c>
      <c r="M90" s="29">
        <v>167240.74</v>
      </c>
      <c r="N90" s="7">
        <f t="shared" si="4"/>
        <v>1</v>
      </c>
      <c r="O90" s="29">
        <v>0</v>
      </c>
      <c r="P90" s="8">
        <f t="shared" si="5"/>
        <v>-3075827.26</v>
      </c>
    </row>
    <row r="91" spans="1:16" x14ac:dyDescent="0.2">
      <c r="A91" s="26" t="s">
        <v>339</v>
      </c>
      <c r="B91" s="12" t="s">
        <v>221</v>
      </c>
      <c r="C91" s="12" t="s">
        <v>224</v>
      </c>
      <c r="D91" s="27" t="s">
        <v>225</v>
      </c>
      <c r="E91" s="28" t="s">
        <v>93</v>
      </c>
      <c r="F91" s="29">
        <v>845899</v>
      </c>
      <c r="G91" s="29">
        <v>0</v>
      </c>
      <c r="H91" s="29">
        <v>845899</v>
      </c>
      <c r="I91" s="29">
        <v>38448.29</v>
      </c>
      <c r="J91" s="7">
        <f t="shared" si="3"/>
        <v>4.5452577671802427E-2</v>
      </c>
      <c r="K91" s="29">
        <v>38448.29</v>
      </c>
      <c r="L91" s="29">
        <v>0</v>
      </c>
      <c r="M91" s="29">
        <v>38448.29</v>
      </c>
      <c r="N91" s="7">
        <f t="shared" si="4"/>
        <v>1</v>
      </c>
      <c r="O91" s="29">
        <v>0</v>
      </c>
      <c r="P91" s="8">
        <f t="shared" si="5"/>
        <v>-807450.71</v>
      </c>
    </row>
    <row r="92" spans="1:16" x14ac:dyDescent="0.2">
      <c r="A92" s="26" t="s">
        <v>340</v>
      </c>
      <c r="B92" s="12" t="s">
        <v>221</v>
      </c>
      <c r="C92" s="12" t="s">
        <v>224</v>
      </c>
      <c r="D92" s="27" t="s">
        <v>225</v>
      </c>
      <c r="E92" s="28" t="s">
        <v>94</v>
      </c>
      <c r="F92" s="29">
        <v>455360</v>
      </c>
      <c r="G92" s="29">
        <v>0</v>
      </c>
      <c r="H92" s="29">
        <v>455360</v>
      </c>
      <c r="I92" s="29">
        <v>21011.56</v>
      </c>
      <c r="J92" s="7">
        <f t="shared" si="3"/>
        <v>4.614274420238932E-2</v>
      </c>
      <c r="K92" s="29">
        <v>21011.56</v>
      </c>
      <c r="L92" s="29">
        <v>0</v>
      </c>
      <c r="M92" s="29">
        <v>21011.56</v>
      </c>
      <c r="N92" s="7">
        <f t="shared" si="4"/>
        <v>1</v>
      </c>
      <c r="O92" s="29">
        <v>0</v>
      </c>
      <c r="P92" s="8">
        <f t="shared" si="5"/>
        <v>-434348.44</v>
      </c>
    </row>
    <row r="93" spans="1:16" x14ac:dyDescent="0.2">
      <c r="A93" s="26" t="s">
        <v>341</v>
      </c>
      <c r="B93" s="12" t="s">
        <v>221</v>
      </c>
      <c r="C93" s="12" t="s">
        <v>224</v>
      </c>
      <c r="D93" s="27" t="s">
        <v>225</v>
      </c>
      <c r="E93" s="28" t="s">
        <v>95</v>
      </c>
      <c r="F93" s="29">
        <v>1375</v>
      </c>
      <c r="G93" s="29">
        <v>0</v>
      </c>
      <c r="H93" s="29">
        <v>1375</v>
      </c>
      <c r="I93" s="29">
        <v>0</v>
      </c>
      <c r="J93" s="7">
        <f t="shared" si="3"/>
        <v>0</v>
      </c>
      <c r="K93" s="29">
        <v>0</v>
      </c>
      <c r="L93" s="29">
        <v>0</v>
      </c>
      <c r="M93" s="29">
        <v>0</v>
      </c>
      <c r="N93" s="7" t="str">
        <f t="shared" si="4"/>
        <v xml:space="preserve"> </v>
      </c>
      <c r="O93" s="29">
        <v>0</v>
      </c>
      <c r="P93" s="8">
        <f t="shared" si="5"/>
        <v>-1375</v>
      </c>
    </row>
    <row r="94" spans="1:16" x14ac:dyDescent="0.2">
      <c r="A94" s="26" t="s">
        <v>342</v>
      </c>
      <c r="B94" s="12" t="s">
        <v>221</v>
      </c>
      <c r="C94" s="12" t="s">
        <v>224</v>
      </c>
      <c r="D94" s="27" t="s">
        <v>225</v>
      </c>
      <c r="E94" s="28" t="s">
        <v>96</v>
      </c>
      <c r="F94" s="29">
        <v>19500</v>
      </c>
      <c r="G94" s="29">
        <v>0</v>
      </c>
      <c r="H94" s="29">
        <v>19500</v>
      </c>
      <c r="I94" s="29">
        <v>0</v>
      </c>
      <c r="J94" s="7">
        <f t="shared" si="3"/>
        <v>0</v>
      </c>
      <c r="K94" s="29">
        <v>0</v>
      </c>
      <c r="L94" s="29">
        <v>0</v>
      </c>
      <c r="M94" s="29">
        <v>0</v>
      </c>
      <c r="N94" s="7" t="str">
        <f t="shared" si="4"/>
        <v xml:space="preserve"> </v>
      </c>
      <c r="O94" s="29">
        <v>0</v>
      </c>
      <c r="P94" s="8">
        <f t="shared" si="5"/>
        <v>-19500</v>
      </c>
    </row>
    <row r="95" spans="1:16" x14ac:dyDescent="0.2">
      <c r="A95" s="26" t="s">
        <v>343</v>
      </c>
      <c r="B95" s="12" t="s">
        <v>221</v>
      </c>
      <c r="C95" s="12" t="s">
        <v>224</v>
      </c>
      <c r="D95" s="27" t="s">
        <v>225</v>
      </c>
      <c r="E95" s="28" t="s">
        <v>97</v>
      </c>
      <c r="F95" s="29">
        <v>88000</v>
      </c>
      <c r="G95" s="29">
        <v>0</v>
      </c>
      <c r="H95" s="29">
        <v>88000</v>
      </c>
      <c r="I95" s="29">
        <v>0</v>
      </c>
      <c r="J95" s="7">
        <f t="shared" si="3"/>
        <v>0</v>
      </c>
      <c r="K95" s="29">
        <v>0</v>
      </c>
      <c r="L95" s="29">
        <v>0</v>
      </c>
      <c r="M95" s="29">
        <v>0</v>
      </c>
      <c r="N95" s="7" t="str">
        <f t="shared" si="4"/>
        <v xml:space="preserve"> </v>
      </c>
      <c r="O95" s="29">
        <v>0</v>
      </c>
      <c r="P95" s="8">
        <f t="shared" si="5"/>
        <v>-88000</v>
      </c>
    </row>
    <row r="96" spans="1:16" x14ac:dyDescent="0.2">
      <c r="A96" s="26" t="s">
        <v>344</v>
      </c>
      <c r="B96" s="12" t="s">
        <v>221</v>
      </c>
      <c r="C96" s="12" t="s">
        <v>224</v>
      </c>
      <c r="D96" s="27" t="s">
        <v>225</v>
      </c>
      <c r="E96" s="28" t="s">
        <v>98</v>
      </c>
      <c r="F96" s="29">
        <v>810233</v>
      </c>
      <c r="G96" s="29">
        <v>0</v>
      </c>
      <c r="H96" s="29">
        <v>810233</v>
      </c>
      <c r="I96" s="29">
        <v>0</v>
      </c>
      <c r="J96" s="7">
        <f t="shared" si="3"/>
        <v>0</v>
      </c>
      <c r="K96" s="29">
        <v>0</v>
      </c>
      <c r="L96" s="29">
        <v>0</v>
      </c>
      <c r="M96" s="29">
        <v>0</v>
      </c>
      <c r="N96" s="7" t="str">
        <f t="shared" si="4"/>
        <v xml:space="preserve"> </v>
      </c>
      <c r="O96" s="29">
        <v>0</v>
      </c>
      <c r="P96" s="8">
        <f t="shared" si="5"/>
        <v>-810233</v>
      </c>
    </row>
    <row r="97" spans="1:16" x14ac:dyDescent="0.2">
      <c r="A97" s="26" t="s">
        <v>345</v>
      </c>
      <c r="B97" s="12" t="s">
        <v>221</v>
      </c>
      <c r="C97" s="12" t="s">
        <v>224</v>
      </c>
      <c r="D97" s="27" t="s">
        <v>225</v>
      </c>
      <c r="E97" s="28" t="s">
        <v>99</v>
      </c>
      <c r="F97" s="29">
        <v>167200</v>
      </c>
      <c r="G97" s="29">
        <v>0</v>
      </c>
      <c r="H97" s="29">
        <v>167200</v>
      </c>
      <c r="I97" s="29">
        <v>162873.63</v>
      </c>
      <c r="J97" s="7">
        <f t="shared" si="3"/>
        <v>0.97412458133971291</v>
      </c>
      <c r="K97" s="29">
        <v>162873.63</v>
      </c>
      <c r="L97" s="29">
        <v>0</v>
      </c>
      <c r="M97" s="29">
        <v>162873.63</v>
      </c>
      <c r="N97" s="7">
        <f t="shared" si="4"/>
        <v>1</v>
      </c>
      <c r="O97" s="29">
        <v>0</v>
      </c>
      <c r="P97" s="8">
        <f t="shared" si="5"/>
        <v>-4326.3699999999953</v>
      </c>
    </row>
    <row r="98" spans="1:16" x14ac:dyDescent="0.2">
      <c r="A98" s="26" t="s">
        <v>346</v>
      </c>
      <c r="B98" s="12" t="s">
        <v>221</v>
      </c>
      <c r="C98" s="12" t="s">
        <v>224</v>
      </c>
      <c r="D98" s="27" t="s">
        <v>225</v>
      </c>
      <c r="E98" s="28" t="s">
        <v>100</v>
      </c>
      <c r="F98" s="29">
        <v>391340</v>
      </c>
      <c r="G98" s="29">
        <v>0</v>
      </c>
      <c r="H98" s="29">
        <v>391340</v>
      </c>
      <c r="I98" s="29">
        <v>34294.980000000003</v>
      </c>
      <c r="J98" s="7">
        <f t="shared" si="3"/>
        <v>8.763474216793582E-2</v>
      </c>
      <c r="K98" s="29">
        <v>34294.980000000003</v>
      </c>
      <c r="L98" s="29">
        <v>0</v>
      </c>
      <c r="M98" s="29">
        <v>34294.980000000003</v>
      </c>
      <c r="N98" s="7">
        <f t="shared" si="4"/>
        <v>1</v>
      </c>
      <c r="O98" s="29">
        <v>0</v>
      </c>
      <c r="P98" s="8">
        <f t="shared" si="5"/>
        <v>-357045.02</v>
      </c>
    </row>
    <row r="99" spans="1:16" x14ac:dyDescent="0.2">
      <c r="A99" s="26" t="s">
        <v>347</v>
      </c>
      <c r="B99" s="12" t="s">
        <v>221</v>
      </c>
      <c r="C99" s="12" t="s">
        <v>224</v>
      </c>
      <c r="D99" s="27" t="s">
        <v>225</v>
      </c>
      <c r="E99" s="28" t="s">
        <v>101</v>
      </c>
      <c r="F99" s="29">
        <v>10500</v>
      </c>
      <c r="G99" s="29">
        <v>0</v>
      </c>
      <c r="H99" s="29">
        <v>10500</v>
      </c>
      <c r="I99" s="29">
        <v>0</v>
      </c>
      <c r="J99" s="7">
        <f t="shared" si="3"/>
        <v>0</v>
      </c>
      <c r="K99" s="29">
        <v>0</v>
      </c>
      <c r="L99" s="29">
        <v>0</v>
      </c>
      <c r="M99" s="29">
        <v>0</v>
      </c>
      <c r="N99" s="7" t="str">
        <f t="shared" si="4"/>
        <v xml:space="preserve"> </v>
      </c>
      <c r="O99" s="29">
        <v>0</v>
      </c>
      <c r="P99" s="8">
        <f t="shared" si="5"/>
        <v>-10500</v>
      </c>
    </row>
    <row r="100" spans="1:16" x14ac:dyDescent="0.2">
      <c r="A100" s="26" t="s">
        <v>348</v>
      </c>
      <c r="B100" s="12" t="s">
        <v>221</v>
      </c>
      <c r="C100" s="12" t="s">
        <v>224</v>
      </c>
      <c r="D100" s="27" t="s">
        <v>225</v>
      </c>
      <c r="E100" s="28" t="s">
        <v>102</v>
      </c>
      <c r="F100" s="29">
        <v>0</v>
      </c>
      <c r="G100" s="29">
        <v>0</v>
      </c>
      <c r="H100" s="29">
        <v>0</v>
      </c>
      <c r="I100" s="29">
        <v>66478.5</v>
      </c>
      <c r="J100" s="7" t="str">
        <f t="shared" si="3"/>
        <v xml:space="preserve"> </v>
      </c>
      <c r="K100" s="29">
        <v>66478.5</v>
      </c>
      <c r="L100" s="29">
        <v>0</v>
      </c>
      <c r="M100" s="29">
        <v>66478.5</v>
      </c>
      <c r="N100" s="7">
        <f t="shared" si="4"/>
        <v>1</v>
      </c>
      <c r="O100" s="29">
        <v>0</v>
      </c>
      <c r="P100" s="8">
        <f t="shared" si="5"/>
        <v>66478.5</v>
      </c>
    </row>
    <row r="101" spans="1:16" x14ac:dyDescent="0.2">
      <c r="A101" s="26" t="s">
        <v>349</v>
      </c>
      <c r="B101" s="12" t="s">
        <v>221</v>
      </c>
      <c r="C101" s="12" t="s">
        <v>224</v>
      </c>
      <c r="D101" s="27" t="s">
        <v>225</v>
      </c>
      <c r="E101" s="28" t="s">
        <v>384</v>
      </c>
      <c r="F101" s="29">
        <v>0</v>
      </c>
      <c r="G101" s="29">
        <v>0</v>
      </c>
      <c r="H101" s="29">
        <v>0</v>
      </c>
      <c r="I101" s="29">
        <v>1320849.98</v>
      </c>
      <c r="J101" s="7" t="str">
        <f t="shared" si="3"/>
        <v xml:space="preserve"> </v>
      </c>
      <c r="K101" s="29">
        <v>1320849.98</v>
      </c>
      <c r="L101" s="29">
        <v>0</v>
      </c>
      <c r="M101" s="29">
        <v>1320849.98</v>
      </c>
      <c r="N101" s="7">
        <f t="shared" si="4"/>
        <v>1</v>
      </c>
      <c r="O101" s="29">
        <v>0</v>
      </c>
      <c r="P101" s="8">
        <f t="shared" si="5"/>
        <v>1320849.98</v>
      </c>
    </row>
    <row r="102" spans="1:16" x14ac:dyDescent="0.2">
      <c r="A102" s="26" t="s">
        <v>350</v>
      </c>
      <c r="B102" s="12" t="s">
        <v>221</v>
      </c>
      <c r="C102" s="12" t="s">
        <v>224</v>
      </c>
      <c r="D102" s="27" t="s">
        <v>225</v>
      </c>
      <c r="E102" s="28" t="s">
        <v>103</v>
      </c>
      <c r="F102" s="29">
        <v>74457</v>
      </c>
      <c r="G102" s="29">
        <v>0</v>
      </c>
      <c r="H102" s="29">
        <v>74457</v>
      </c>
      <c r="I102" s="29">
        <v>1705.39</v>
      </c>
      <c r="J102" s="7">
        <f t="shared" si="3"/>
        <v>2.2904360906294909E-2</v>
      </c>
      <c r="K102" s="29">
        <v>1705.39</v>
      </c>
      <c r="L102" s="29">
        <v>0</v>
      </c>
      <c r="M102" s="29">
        <v>1705.39</v>
      </c>
      <c r="N102" s="7">
        <f t="shared" si="4"/>
        <v>1</v>
      </c>
      <c r="O102" s="29">
        <v>0</v>
      </c>
      <c r="P102" s="8">
        <f t="shared" si="5"/>
        <v>-72751.61</v>
      </c>
    </row>
    <row r="103" spans="1:16" x14ac:dyDescent="0.2">
      <c r="A103" s="26" t="s">
        <v>351</v>
      </c>
      <c r="B103" s="12" t="s">
        <v>221</v>
      </c>
      <c r="C103" s="12" t="s">
        <v>224</v>
      </c>
      <c r="D103" s="27" t="s">
        <v>225</v>
      </c>
      <c r="E103" s="28" t="s">
        <v>104</v>
      </c>
      <c r="F103" s="29">
        <v>217540</v>
      </c>
      <c r="G103" s="29">
        <v>0</v>
      </c>
      <c r="H103" s="29">
        <v>217540</v>
      </c>
      <c r="I103" s="29">
        <v>0</v>
      </c>
      <c r="J103" s="7">
        <f t="shared" si="3"/>
        <v>0</v>
      </c>
      <c r="K103" s="29">
        <v>0</v>
      </c>
      <c r="L103" s="29">
        <v>0</v>
      </c>
      <c r="M103" s="29">
        <v>0</v>
      </c>
      <c r="N103" s="7" t="str">
        <f t="shared" si="4"/>
        <v xml:space="preserve"> </v>
      </c>
      <c r="O103" s="29">
        <v>0</v>
      </c>
      <c r="P103" s="8">
        <f t="shared" si="5"/>
        <v>-217540</v>
      </c>
    </row>
    <row r="104" spans="1:16" x14ac:dyDescent="0.2">
      <c r="A104" s="26" t="s">
        <v>352</v>
      </c>
      <c r="B104" s="12" t="s">
        <v>221</v>
      </c>
      <c r="C104" s="12" t="s">
        <v>224</v>
      </c>
      <c r="D104" s="27" t="s">
        <v>225</v>
      </c>
      <c r="E104" s="28" t="s">
        <v>105</v>
      </c>
      <c r="F104" s="29">
        <v>1680000</v>
      </c>
      <c r="G104" s="29">
        <v>0</v>
      </c>
      <c r="H104" s="29">
        <v>1680000</v>
      </c>
      <c r="I104" s="29">
        <v>0</v>
      </c>
      <c r="J104" s="7">
        <f t="shared" si="3"/>
        <v>0</v>
      </c>
      <c r="K104" s="29">
        <v>0</v>
      </c>
      <c r="L104" s="29">
        <v>0</v>
      </c>
      <c r="M104" s="29">
        <v>0</v>
      </c>
      <c r="N104" s="7" t="str">
        <f t="shared" si="4"/>
        <v xml:space="preserve"> </v>
      </c>
      <c r="O104" s="29">
        <v>0</v>
      </c>
      <c r="P104" s="8">
        <f t="shared" si="5"/>
        <v>-1680000</v>
      </c>
    </row>
    <row r="105" spans="1:16" x14ac:dyDescent="0.2">
      <c r="A105" s="26" t="s">
        <v>353</v>
      </c>
      <c r="B105" s="12" t="s">
        <v>221</v>
      </c>
      <c r="C105" s="12" t="s">
        <v>224</v>
      </c>
      <c r="D105" s="27" t="s">
        <v>226</v>
      </c>
      <c r="E105" s="28" t="s">
        <v>106</v>
      </c>
      <c r="F105" s="29">
        <v>570000</v>
      </c>
      <c r="G105" s="29">
        <v>0</v>
      </c>
      <c r="H105" s="29">
        <v>570000</v>
      </c>
      <c r="I105" s="29">
        <v>0</v>
      </c>
      <c r="J105" s="7">
        <f t="shared" si="3"/>
        <v>0</v>
      </c>
      <c r="K105" s="29">
        <v>0</v>
      </c>
      <c r="L105" s="29">
        <v>0</v>
      </c>
      <c r="M105" s="29">
        <v>0</v>
      </c>
      <c r="N105" s="7" t="str">
        <f t="shared" si="4"/>
        <v xml:space="preserve"> </v>
      </c>
      <c r="O105" s="29">
        <v>0</v>
      </c>
      <c r="P105" s="8">
        <f t="shared" si="5"/>
        <v>-570000</v>
      </c>
    </row>
    <row r="106" spans="1:16" x14ac:dyDescent="0.2">
      <c r="A106" s="26" t="s">
        <v>354</v>
      </c>
      <c r="B106" s="12" t="s">
        <v>221</v>
      </c>
      <c r="C106" s="12" t="s">
        <v>224</v>
      </c>
      <c r="D106" s="27" t="s">
        <v>226</v>
      </c>
      <c r="E106" s="28" t="s">
        <v>142</v>
      </c>
      <c r="F106" s="29">
        <v>0</v>
      </c>
      <c r="G106" s="29">
        <v>1500000</v>
      </c>
      <c r="H106" s="29">
        <v>1500000</v>
      </c>
      <c r="I106" s="29">
        <v>0</v>
      </c>
      <c r="J106" s="7">
        <f t="shared" si="3"/>
        <v>0</v>
      </c>
      <c r="K106" s="29">
        <v>0</v>
      </c>
      <c r="L106" s="29">
        <v>0</v>
      </c>
      <c r="M106" s="29">
        <v>0</v>
      </c>
      <c r="N106" s="7" t="str">
        <f t="shared" si="4"/>
        <v xml:space="preserve"> </v>
      </c>
      <c r="O106" s="29">
        <v>0</v>
      </c>
      <c r="P106" s="8">
        <f t="shared" si="5"/>
        <v>-1500000</v>
      </c>
    </row>
    <row r="107" spans="1:16" x14ac:dyDescent="0.2">
      <c r="A107" s="26" t="s">
        <v>355</v>
      </c>
      <c r="B107" s="12" t="s">
        <v>221</v>
      </c>
      <c r="C107" s="12" t="s">
        <v>224</v>
      </c>
      <c r="D107" s="27" t="s">
        <v>226</v>
      </c>
      <c r="E107" s="28" t="s">
        <v>107</v>
      </c>
      <c r="F107" s="29">
        <v>1981175</v>
      </c>
      <c r="G107" s="29">
        <v>0</v>
      </c>
      <c r="H107" s="29">
        <v>1981175</v>
      </c>
      <c r="I107" s="29">
        <v>0</v>
      </c>
      <c r="J107" s="7">
        <f t="shared" si="3"/>
        <v>0</v>
      </c>
      <c r="K107" s="29">
        <v>0</v>
      </c>
      <c r="L107" s="29">
        <v>0</v>
      </c>
      <c r="M107" s="29">
        <v>0</v>
      </c>
      <c r="N107" s="7" t="str">
        <f t="shared" si="4"/>
        <v xml:space="preserve"> </v>
      </c>
      <c r="O107" s="29">
        <v>0</v>
      </c>
      <c r="P107" s="8">
        <f t="shared" si="5"/>
        <v>-1981175</v>
      </c>
    </row>
    <row r="108" spans="1:16" x14ac:dyDescent="0.2">
      <c r="A108" s="26" t="s">
        <v>356</v>
      </c>
      <c r="B108" s="12" t="s">
        <v>221</v>
      </c>
      <c r="C108" s="12" t="s">
        <v>224</v>
      </c>
      <c r="D108" s="27" t="s">
        <v>226</v>
      </c>
      <c r="E108" s="28" t="s">
        <v>143</v>
      </c>
      <c r="F108" s="29">
        <v>66479</v>
      </c>
      <c r="G108" s="29">
        <v>0</v>
      </c>
      <c r="H108" s="29">
        <v>66479</v>
      </c>
      <c r="I108" s="29">
        <v>0</v>
      </c>
      <c r="J108" s="7">
        <f t="shared" si="3"/>
        <v>0</v>
      </c>
      <c r="K108" s="29">
        <v>0</v>
      </c>
      <c r="L108" s="29">
        <v>0</v>
      </c>
      <c r="M108" s="29">
        <v>0</v>
      </c>
      <c r="N108" s="7" t="str">
        <f t="shared" si="4"/>
        <v xml:space="preserve"> </v>
      </c>
      <c r="O108" s="29">
        <v>0</v>
      </c>
      <c r="P108" s="8">
        <f t="shared" si="5"/>
        <v>-66479</v>
      </c>
    </row>
    <row r="109" spans="1:16" x14ac:dyDescent="0.2">
      <c r="A109" s="26" t="s">
        <v>357</v>
      </c>
      <c r="B109" s="12" t="s">
        <v>221</v>
      </c>
      <c r="C109" s="12" t="s">
        <v>224</v>
      </c>
      <c r="D109" s="27" t="s">
        <v>226</v>
      </c>
      <c r="E109" s="28" t="s">
        <v>144</v>
      </c>
      <c r="F109" s="29">
        <v>201930</v>
      </c>
      <c r="G109" s="29">
        <v>0</v>
      </c>
      <c r="H109" s="29">
        <v>201930</v>
      </c>
      <c r="I109" s="29">
        <v>121158.18</v>
      </c>
      <c r="J109" s="7">
        <f t="shared" si="3"/>
        <v>0.60000089139800916</v>
      </c>
      <c r="K109" s="29">
        <v>121158.18</v>
      </c>
      <c r="L109" s="29">
        <v>0</v>
      </c>
      <c r="M109" s="29">
        <v>121158.18</v>
      </c>
      <c r="N109" s="7">
        <f t="shared" si="4"/>
        <v>1</v>
      </c>
      <c r="O109" s="29">
        <v>0</v>
      </c>
      <c r="P109" s="8">
        <f t="shared" si="5"/>
        <v>-80771.820000000007</v>
      </c>
    </row>
    <row r="110" spans="1:16" x14ac:dyDescent="0.2">
      <c r="A110" s="26" t="s">
        <v>358</v>
      </c>
      <c r="B110" s="12" t="s">
        <v>221</v>
      </c>
      <c r="C110" s="12" t="s">
        <v>227</v>
      </c>
      <c r="D110" s="27" t="s">
        <v>228</v>
      </c>
      <c r="E110" s="28" t="s">
        <v>145</v>
      </c>
      <c r="F110" s="29">
        <v>161544</v>
      </c>
      <c r="G110" s="29">
        <v>0</v>
      </c>
      <c r="H110" s="29">
        <v>161544</v>
      </c>
      <c r="I110" s="29">
        <v>96926.54</v>
      </c>
      <c r="J110" s="7">
        <f t="shared" si="3"/>
        <v>0.6000008666369534</v>
      </c>
      <c r="K110" s="29">
        <v>96926.54</v>
      </c>
      <c r="L110" s="29">
        <v>0</v>
      </c>
      <c r="M110" s="29">
        <v>96926.54</v>
      </c>
      <c r="N110" s="7">
        <f t="shared" si="4"/>
        <v>1</v>
      </c>
      <c r="O110" s="29">
        <v>0</v>
      </c>
      <c r="P110" s="8">
        <f t="shared" si="5"/>
        <v>-64617.460000000006</v>
      </c>
    </row>
    <row r="111" spans="1:16" x14ac:dyDescent="0.2">
      <c r="A111" s="26" t="s">
        <v>359</v>
      </c>
      <c r="B111" s="12" t="s">
        <v>221</v>
      </c>
      <c r="C111" s="12" t="s">
        <v>227</v>
      </c>
      <c r="D111" s="27" t="s">
        <v>229</v>
      </c>
      <c r="E111" s="28" t="s">
        <v>385</v>
      </c>
      <c r="F111" s="29">
        <v>0</v>
      </c>
      <c r="G111" s="29">
        <v>82320</v>
      </c>
      <c r="H111" s="29">
        <v>82320</v>
      </c>
      <c r="I111" s="29">
        <v>0</v>
      </c>
      <c r="J111" s="7">
        <f t="shared" si="3"/>
        <v>0</v>
      </c>
      <c r="K111" s="29">
        <v>0</v>
      </c>
      <c r="L111" s="29">
        <v>0</v>
      </c>
      <c r="M111" s="29">
        <v>0</v>
      </c>
      <c r="N111" s="7" t="str">
        <f t="shared" si="4"/>
        <v xml:space="preserve"> </v>
      </c>
      <c r="O111" s="29">
        <v>0</v>
      </c>
      <c r="P111" s="8">
        <f t="shared" si="5"/>
        <v>-82320</v>
      </c>
    </row>
    <row r="112" spans="1:16" x14ac:dyDescent="0.2">
      <c r="A112" s="26" t="s">
        <v>360</v>
      </c>
      <c r="B112" s="12" t="s">
        <v>221</v>
      </c>
      <c r="C112" s="12" t="s">
        <v>227</v>
      </c>
      <c r="D112" s="27" t="s">
        <v>229</v>
      </c>
      <c r="E112" s="28" t="s">
        <v>161</v>
      </c>
      <c r="F112" s="29">
        <v>0</v>
      </c>
      <c r="G112" s="29">
        <v>0</v>
      </c>
      <c r="H112" s="29">
        <v>0</v>
      </c>
      <c r="I112" s="29">
        <v>67646.09</v>
      </c>
      <c r="J112" s="7" t="str">
        <f t="shared" si="3"/>
        <v xml:space="preserve"> </v>
      </c>
      <c r="K112" s="29">
        <v>67646.09</v>
      </c>
      <c r="L112" s="29">
        <v>0</v>
      </c>
      <c r="M112" s="29">
        <v>67646.09</v>
      </c>
      <c r="N112" s="7">
        <f t="shared" si="4"/>
        <v>1</v>
      </c>
      <c r="O112" s="29">
        <v>0</v>
      </c>
      <c r="P112" s="8">
        <f t="shared" si="5"/>
        <v>67646.09</v>
      </c>
    </row>
    <row r="113" spans="1:16" x14ac:dyDescent="0.2">
      <c r="A113" s="26" t="s">
        <v>361</v>
      </c>
      <c r="B113" s="12" t="s">
        <v>221</v>
      </c>
      <c r="C113" s="12" t="s">
        <v>227</v>
      </c>
      <c r="D113" s="27" t="s">
        <v>230</v>
      </c>
      <c r="E113" s="28" t="s">
        <v>146</v>
      </c>
      <c r="F113" s="29">
        <v>242316</v>
      </c>
      <c r="G113" s="29">
        <v>0</v>
      </c>
      <c r="H113" s="29">
        <v>242316</v>
      </c>
      <c r="I113" s="29">
        <v>145389.82</v>
      </c>
      <c r="J113" s="7">
        <f t="shared" si="3"/>
        <v>0.60000090790537974</v>
      </c>
      <c r="K113" s="29">
        <v>145389.82</v>
      </c>
      <c r="L113" s="29">
        <v>0</v>
      </c>
      <c r="M113" s="29">
        <v>145389.82</v>
      </c>
      <c r="N113" s="7">
        <f t="shared" si="4"/>
        <v>1</v>
      </c>
      <c r="O113" s="29">
        <v>0</v>
      </c>
      <c r="P113" s="8">
        <f t="shared" si="5"/>
        <v>-96926.18</v>
      </c>
    </row>
    <row r="114" spans="1:16" x14ac:dyDescent="0.2">
      <c r="A114" s="26" t="s">
        <v>362</v>
      </c>
      <c r="B114" s="12" t="s">
        <v>221</v>
      </c>
      <c r="C114" s="12" t="s">
        <v>227</v>
      </c>
      <c r="D114" s="27" t="s">
        <v>230</v>
      </c>
      <c r="E114" s="28" t="s">
        <v>147</v>
      </c>
      <c r="F114" s="29">
        <v>63092</v>
      </c>
      <c r="G114" s="29">
        <v>0</v>
      </c>
      <c r="H114" s="29">
        <v>63092</v>
      </c>
      <c r="I114" s="29">
        <v>0</v>
      </c>
      <c r="J114" s="7">
        <f t="shared" si="3"/>
        <v>0</v>
      </c>
      <c r="K114" s="29">
        <v>0</v>
      </c>
      <c r="L114" s="29">
        <v>0</v>
      </c>
      <c r="M114" s="29">
        <v>0</v>
      </c>
      <c r="N114" s="7" t="str">
        <f t="shared" si="4"/>
        <v xml:space="preserve"> </v>
      </c>
      <c r="O114" s="29">
        <v>0</v>
      </c>
      <c r="P114" s="8">
        <f t="shared" si="5"/>
        <v>-63092</v>
      </c>
    </row>
    <row r="115" spans="1:16" x14ac:dyDescent="0.2">
      <c r="A115" s="26" t="s">
        <v>363</v>
      </c>
      <c r="B115" s="12" t="s">
        <v>221</v>
      </c>
      <c r="C115" s="12" t="s">
        <v>227</v>
      </c>
      <c r="D115" s="27" t="s">
        <v>230</v>
      </c>
      <c r="E115" s="28" t="s">
        <v>148</v>
      </c>
      <c r="F115" s="29">
        <v>27528</v>
      </c>
      <c r="G115" s="29">
        <v>0</v>
      </c>
      <c r="H115" s="29">
        <v>27528</v>
      </c>
      <c r="I115" s="29">
        <v>0</v>
      </c>
      <c r="J115" s="7">
        <f t="shared" si="3"/>
        <v>0</v>
      </c>
      <c r="K115" s="29">
        <v>0</v>
      </c>
      <c r="L115" s="29">
        <v>0</v>
      </c>
      <c r="M115" s="29">
        <v>0</v>
      </c>
      <c r="N115" s="7" t="str">
        <f t="shared" si="4"/>
        <v xml:space="preserve"> </v>
      </c>
      <c r="O115" s="29">
        <v>0</v>
      </c>
      <c r="P115" s="8">
        <f t="shared" si="5"/>
        <v>-27528</v>
      </c>
    </row>
    <row r="116" spans="1:16" x14ac:dyDescent="0.2">
      <c r="A116" s="26" t="s">
        <v>364</v>
      </c>
      <c r="B116" s="12" t="s">
        <v>221</v>
      </c>
      <c r="C116" s="12" t="s">
        <v>227</v>
      </c>
      <c r="D116" s="27" t="s">
        <v>230</v>
      </c>
      <c r="E116" s="28" t="s">
        <v>162</v>
      </c>
      <c r="F116" s="29">
        <v>0</v>
      </c>
      <c r="G116" s="29">
        <v>0</v>
      </c>
      <c r="H116" s="29">
        <v>0</v>
      </c>
      <c r="I116" s="29">
        <v>20645.96</v>
      </c>
      <c r="J116" s="7" t="str">
        <f t="shared" si="3"/>
        <v xml:space="preserve"> </v>
      </c>
      <c r="K116" s="29">
        <v>20645.96</v>
      </c>
      <c r="L116" s="29">
        <v>0</v>
      </c>
      <c r="M116" s="29">
        <v>20645.96</v>
      </c>
      <c r="N116" s="7">
        <f t="shared" si="4"/>
        <v>1</v>
      </c>
      <c r="O116" s="29">
        <v>0</v>
      </c>
      <c r="P116" s="8">
        <f t="shared" si="5"/>
        <v>20645.96</v>
      </c>
    </row>
    <row r="117" spans="1:16" x14ac:dyDescent="0.2">
      <c r="A117" s="26" t="s">
        <v>365</v>
      </c>
      <c r="B117" s="12" t="s">
        <v>221</v>
      </c>
      <c r="C117" s="12" t="s">
        <v>227</v>
      </c>
      <c r="D117" s="27" t="s">
        <v>230</v>
      </c>
      <c r="E117" s="28" t="s">
        <v>166</v>
      </c>
      <c r="F117" s="29">
        <v>0</v>
      </c>
      <c r="G117" s="29">
        <v>0</v>
      </c>
      <c r="H117" s="29">
        <v>0</v>
      </c>
      <c r="I117" s="29">
        <v>25895.81</v>
      </c>
      <c r="J117" s="7" t="str">
        <f t="shared" si="3"/>
        <v xml:space="preserve"> </v>
      </c>
      <c r="K117" s="29">
        <v>25895.81</v>
      </c>
      <c r="L117" s="29">
        <v>0</v>
      </c>
      <c r="M117" s="29">
        <v>25895.81</v>
      </c>
      <c r="N117" s="7">
        <f t="shared" si="4"/>
        <v>1</v>
      </c>
      <c r="O117" s="29">
        <v>0</v>
      </c>
      <c r="P117" s="8">
        <f t="shared" si="5"/>
        <v>25895.81</v>
      </c>
    </row>
    <row r="118" spans="1:16" x14ac:dyDescent="0.2">
      <c r="A118" s="26" t="s">
        <v>366</v>
      </c>
      <c r="B118" s="12" t="s">
        <v>221</v>
      </c>
      <c r="C118" s="12" t="s">
        <v>227</v>
      </c>
      <c r="D118" s="27" t="s">
        <v>230</v>
      </c>
      <c r="E118" s="28" t="s">
        <v>149</v>
      </c>
      <c r="F118" s="29">
        <v>34000</v>
      </c>
      <c r="G118" s="29">
        <v>0</v>
      </c>
      <c r="H118" s="29">
        <v>34000</v>
      </c>
      <c r="I118" s="29">
        <v>0</v>
      </c>
      <c r="J118" s="7">
        <f t="shared" si="3"/>
        <v>0</v>
      </c>
      <c r="K118" s="29">
        <v>0</v>
      </c>
      <c r="L118" s="29">
        <v>0</v>
      </c>
      <c r="M118" s="29">
        <v>0</v>
      </c>
      <c r="N118" s="7" t="str">
        <f t="shared" si="4"/>
        <v xml:space="preserve"> </v>
      </c>
      <c r="O118" s="29">
        <v>0</v>
      </c>
      <c r="P118" s="8">
        <f t="shared" si="5"/>
        <v>-34000</v>
      </c>
    </row>
    <row r="119" spans="1:16" x14ac:dyDescent="0.2">
      <c r="A119" s="26" t="s">
        <v>367</v>
      </c>
      <c r="B119" s="12" t="s">
        <v>221</v>
      </c>
      <c r="C119" s="12" t="s">
        <v>227</v>
      </c>
      <c r="D119" s="27" t="s">
        <v>230</v>
      </c>
      <c r="E119" s="28" t="s">
        <v>109</v>
      </c>
      <c r="F119" s="29">
        <v>19313</v>
      </c>
      <c r="G119" s="29">
        <v>0</v>
      </c>
      <c r="H119" s="29">
        <v>19313</v>
      </c>
      <c r="I119" s="29">
        <v>0</v>
      </c>
      <c r="J119" s="7">
        <f t="shared" si="3"/>
        <v>0</v>
      </c>
      <c r="K119" s="29">
        <v>0</v>
      </c>
      <c r="L119" s="29">
        <v>0</v>
      </c>
      <c r="M119" s="29">
        <v>0</v>
      </c>
      <c r="N119" s="7" t="str">
        <f t="shared" si="4"/>
        <v xml:space="preserve"> </v>
      </c>
      <c r="O119" s="29">
        <v>0</v>
      </c>
      <c r="P119" s="8">
        <f t="shared" si="5"/>
        <v>-19313</v>
      </c>
    </row>
    <row r="120" spans="1:16" x14ac:dyDescent="0.2">
      <c r="A120" s="26" t="s">
        <v>368</v>
      </c>
      <c r="B120" s="12" t="s">
        <v>221</v>
      </c>
      <c r="C120" s="12" t="s">
        <v>227</v>
      </c>
      <c r="D120" s="27" t="s">
        <v>230</v>
      </c>
      <c r="E120" s="28" t="s">
        <v>110</v>
      </c>
      <c r="F120" s="29">
        <v>95938</v>
      </c>
      <c r="G120" s="29">
        <v>0</v>
      </c>
      <c r="H120" s="29">
        <v>95938</v>
      </c>
      <c r="I120" s="29">
        <v>0</v>
      </c>
      <c r="J120" s="7">
        <f t="shared" si="3"/>
        <v>0</v>
      </c>
      <c r="K120" s="29">
        <v>0</v>
      </c>
      <c r="L120" s="29">
        <v>0</v>
      </c>
      <c r="M120" s="29">
        <v>0</v>
      </c>
      <c r="N120" s="7" t="str">
        <f t="shared" si="4"/>
        <v xml:space="preserve"> </v>
      </c>
      <c r="O120" s="29">
        <v>0</v>
      </c>
      <c r="P120" s="8">
        <f t="shared" si="5"/>
        <v>-95938</v>
      </c>
    </row>
    <row r="121" spans="1:16" x14ac:dyDescent="0.2">
      <c r="A121" s="26" t="s">
        <v>369</v>
      </c>
      <c r="B121" s="12" t="s">
        <v>231</v>
      </c>
      <c r="C121" s="12" t="s">
        <v>232</v>
      </c>
      <c r="D121" s="27" t="s">
        <v>233</v>
      </c>
      <c r="E121" s="28" t="s">
        <v>150</v>
      </c>
      <c r="F121" s="29">
        <v>52815</v>
      </c>
      <c r="G121" s="29">
        <v>0</v>
      </c>
      <c r="H121" s="29">
        <v>52815</v>
      </c>
      <c r="I121" s="29">
        <v>0</v>
      </c>
      <c r="J121" s="7">
        <f t="shared" si="3"/>
        <v>0</v>
      </c>
      <c r="K121" s="29">
        <v>0</v>
      </c>
      <c r="L121" s="29">
        <v>0</v>
      </c>
      <c r="M121" s="29">
        <v>0</v>
      </c>
      <c r="N121" s="7" t="str">
        <f t="shared" si="4"/>
        <v xml:space="preserve"> </v>
      </c>
      <c r="O121" s="29">
        <v>0</v>
      </c>
      <c r="P121" s="8">
        <f t="shared" si="5"/>
        <v>-52815</v>
      </c>
    </row>
    <row r="122" spans="1:16" x14ac:dyDescent="0.2">
      <c r="A122" s="26" t="s">
        <v>370</v>
      </c>
      <c r="B122" s="12" t="s">
        <v>231</v>
      </c>
      <c r="C122" s="12" t="s">
        <v>234</v>
      </c>
      <c r="D122" s="27" t="s">
        <v>235</v>
      </c>
      <c r="E122" s="28" t="s">
        <v>151</v>
      </c>
      <c r="F122" s="29">
        <v>27442</v>
      </c>
      <c r="G122" s="29">
        <v>0</v>
      </c>
      <c r="H122" s="29">
        <v>27442</v>
      </c>
      <c r="I122" s="29">
        <v>27442.38</v>
      </c>
      <c r="J122" s="7">
        <f t="shared" si="3"/>
        <v>1.0000138473872167</v>
      </c>
      <c r="K122" s="29">
        <v>27442.38</v>
      </c>
      <c r="L122" s="29">
        <v>0</v>
      </c>
      <c r="M122" s="29">
        <v>27442.38</v>
      </c>
      <c r="N122" s="7">
        <f t="shared" si="4"/>
        <v>1</v>
      </c>
      <c r="O122" s="29">
        <v>0</v>
      </c>
      <c r="P122" s="8">
        <f t="shared" si="5"/>
        <v>0.38000000000101863</v>
      </c>
    </row>
    <row r="123" spans="1:16" x14ac:dyDescent="0.2">
      <c r="A123" s="26" t="s">
        <v>371</v>
      </c>
      <c r="B123" s="12" t="s">
        <v>231</v>
      </c>
      <c r="C123" s="12" t="s">
        <v>236</v>
      </c>
      <c r="D123" s="27" t="s">
        <v>237</v>
      </c>
      <c r="E123" s="28" t="s">
        <v>152</v>
      </c>
      <c r="F123" s="29">
        <v>75818</v>
      </c>
      <c r="G123" s="29">
        <v>0</v>
      </c>
      <c r="H123" s="29">
        <v>75818</v>
      </c>
      <c r="I123" s="29">
        <v>0</v>
      </c>
      <c r="J123" s="7">
        <f t="shared" si="3"/>
        <v>0</v>
      </c>
      <c r="K123" s="29">
        <v>0</v>
      </c>
      <c r="L123" s="29">
        <v>0</v>
      </c>
      <c r="M123" s="29">
        <v>0</v>
      </c>
      <c r="N123" s="7" t="str">
        <f t="shared" si="4"/>
        <v xml:space="preserve"> </v>
      </c>
      <c r="O123" s="29">
        <v>0</v>
      </c>
      <c r="P123" s="8">
        <f t="shared" si="5"/>
        <v>-75818</v>
      </c>
    </row>
    <row r="124" spans="1:16" x14ac:dyDescent="0.2">
      <c r="A124" s="26" t="s">
        <v>372</v>
      </c>
      <c r="B124" s="12" t="s">
        <v>231</v>
      </c>
      <c r="C124" s="12" t="s">
        <v>236</v>
      </c>
      <c r="D124" s="27" t="s">
        <v>237</v>
      </c>
      <c r="E124" s="28" t="s">
        <v>153</v>
      </c>
      <c r="F124" s="29">
        <v>61000</v>
      </c>
      <c r="G124" s="29">
        <v>0</v>
      </c>
      <c r="H124" s="29">
        <v>61000</v>
      </c>
      <c r="I124" s="29">
        <v>0</v>
      </c>
      <c r="J124" s="7">
        <f t="shared" si="3"/>
        <v>0</v>
      </c>
      <c r="K124" s="29">
        <v>0</v>
      </c>
      <c r="L124" s="29">
        <v>0</v>
      </c>
      <c r="M124" s="29">
        <v>0</v>
      </c>
      <c r="N124" s="7" t="str">
        <f t="shared" si="4"/>
        <v xml:space="preserve"> </v>
      </c>
      <c r="O124" s="29">
        <v>0</v>
      </c>
      <c r="P124" s="8">
        <f t="shared" si="5"/>
        <v>-61000</v>
      </c>
    </row>
    <row r="125" spans="1:16" x14ac:dyDescent="0.2">
      <c r="A125" s="26" t="s">
        <v>373</v>
      </c>
      <c r="B125" s="12" t="s">
        <v>231</v>
      </c>
      <c r="C125" s="12" t="s">
        <v>238</v>
      </c>
      <c r="D125" s="27" t="s">
        <v>239</v>
      </c>
      <c r="E125" s="28" t="s">
        <v>154</v>
      </c>
      <c r="F125" s="29">
        <v>52500</v>
      </c>
      <c r="G125" s="29">
        <v>0</v>
      </c>
      <c r="H125" s="29">
        <v>52500</v>
      </c>
      <c r="I125" s="29">
        <v>0</v>
      </c>
      <c r="J125" s="7">
        <f t="shared" si="3"/>
        <v>0</v>
      </c>
      <c r="K125" s="29">
        <v>0</v>
      </c>
      <c r="L125" s="29">
        <v>0</v>
      </c>
      <c r="M125" s="29">
        <v>0</v>
      </c>
      <c r="N125" s="7" t="str">
        <f t="shared" si="4"/>
        <v xml:space="preserve"> </v>
      </c>
      <c r="O125" s="29">
        <v>0</v>
      </c>
      <c r="P125" s="8">
        <f t="shared" si="5"/>
        <v>-52500</v>
      </c>
    </row>
    <row r="126" spans="1:16" x14ac:dyDescent="0.2">
      <c r="A126" s="26" t="s">
        <v>374</v>
      </c>
      <c r="B126" s="12" t="s">
        <v>231</v>
      </c>
      <c r="C126" s="12" t="s">
        <v>238</v>
      </c>
      <c r="D126" s="27" t="s">
        <v>240</v>
      </c>
      <c r="E126" s="28" t="s">
        <v>111</v>
      </c>
      <c r="F126" s="29">
        <v>1700000</v>
      </c>
      <c r="G126" s="29">
        <v>0</v>
      </c>
      <c r="H126" s="29">
        <v>1700000</v>
      </c>
      <c r="I126" s="29">
        <v>1072176.48</v>
      </c>
      <c r="J126" s="7">
        <f t="shared" si="3"/>
        <v>0.63069204705882354</v>
      </c>
      <c r="K126" s="29">
        <v>1072176.48</v>
      </c>
      <c r="L126" s="29">
        <v>0</v>
      </c>
      <c r="M126" s="29">
        <v>1072176.48</v>
      </c>
      <c r="N126" s="7">
        <f t="shared" si="4"/>
        <v>1</v>
      </c>
      <c r="O126" s="29">
        <v>0</v>
      </c>
      <c r="P126" s="8">
        <f t="shared" si="5"/>
        <v>-627823.52</v>
      </c>
    </row>
    <row r="127" spans="1:16" x14ac:dyDescent="0.2">
      <c r="A127" s="26" t="s">
        <v>375</v>
      </c>
      <c r="B127" s="12" t="s">
        <v>231</v>
      </c>
      <c r="C127" s="12" t="s">
        <v>238</v>
      </c>
      <c r="D127" s="27" t="s">
        <v>241</v>
      </c>
      <c r="E127" s="28" t="s">
        <v>112</v>
      </c>
      <c r="F127" s="29">
        <v>1030000</v>
      </c>
      <c r="G127" s="29">
        <v>0</v>
      </c>
      <c r="H127" s="29">
        <v>1030000</v>
      </c>
      <c r="I127" s="29">
        <v>0</v>
      </c>
      <c r="J127" s="7">
        <f t="shared" si="3"/>
        <v>0</v>
      </c>
      <c r="K127" s="29">
        <v>0</v>
      </c>
      <c r="L127" s="29">
        <v>0</v>
      </c>
      <c r="M127" s="29">
        <v>0</v>
      </c>
      <c r="N127" s="7" t="str">
        <f t="shared" si="4"/>
        <v xml:space="preserve"> </v>
      </c>
      <c r="O127" s="29">
        <v>0</v>
      </c>
      <c r="P127" s="8">
        <f t="shared" si="5"/>
        <v>-1030000</v>
      </c>
    </row>
    <row r="128" spans="1:16" x14ac:dyDescent="0.2">
      <c r="A128" s="26" t="s">
        <v>376</v>
      </c>
      <c r="B128" s="12" t="s">
        <v>231</v>
      </c>
      <c r="C128" s="12" t="s">
        <v>242</v>
      </c>
      <c r="D128" s="27" t="s">
        <v>243</v>
      </c>
      <c r="E128" s="28" t="s">
        <v>113</v>
      </c>
      <c r="F128" s="29">
        <v>25000</v>
      </c>
      <c r="G128" s="29">
        <v>0</v>
      </c>
      <c r="H128" s="29">
        <v>25000</v>
      </c>
      <c r="I128" s="29">
        <v>12434.3</v>
      </c>
      <c r="J128" s="7">
        <f t="shared" si="3"/>
        <v>0.49737199999999998</v>
      </c>
      <c r="K128" s="29">
        <v>6305.17</v>
      </c>
      <c r="L128" s="29">
        <v>0</v>
      </c>
      <c r="M128" s="29">
        <v>6305.17</v>
      </c>
      <c r="N128" s="7">
        <f t="shared" si="4"/>
        <v>0.50707880620541568</v>
      </c>
      <c r="O128" s="29">
        <v>6129.13</v>
      </c>
      <c r="P128" s="8">
        <f t="shared" si="5"/>
        <v>-12565.7</v>
      </c>
    </row>
    <row r="129" spans="1:16" x14ac:dyDescent="0.2">
      <c r="A129" s="26" t="s">
        <v>377</v>
      </c>
      <c r="B129" s="12" t="s">
        <v>231</v>
      </c>
      <c r="C129" s="12" t="s">
        <v>242</v>
      </c>
      <c r="D129" s="27" t="s">
        <v>243</v>
      </c>
      <c r="E129" s="28" t="s">
        <v>114</v>
      </c>
      <c r="F129" s="29">
        <v>25000</v>
      </c>
      <c r="G129" s="29">
        <v>0</v>
      </c>
      <c r="H129" s="29">
        <v>25000</v>
      </c>
      <c r="I129" s="29">
        <v>5987.6</v>
      </c>
      <c r="J129" s="7">
        <f t="shared" ref="J129:J133" si="6">IF(H129=0," ",I129/H129)</f>
        <v>0.23950400000000002</v>
      </c>
      <c r="K129" s="29">
        <v>5987.6</v>
      </c>
      <c r="L129" s="29">
        <v>0</v>
      </c>
      <c r="M129" s="29">
        <v>5987.6</v>
      </c>
      <c r="N129" s="7">
        <f t="shared" ref="N129:N133" si="7">IF(I129=0," ",M129/I129)</f>
        <v>1</v>
      </c>
      <c r="O129" s="29">
        <v>0</v>
      </c>
      <c r="P129" s="8">
        <f t="shared" ref="P129:P133" si="8">I129-H129</f>
        <v>-19012.400000000001</v>
      </c>
    </row>
    <row r="130" spans="1:16" x14ac:dyDescent="0.2">
      <c r="A130" s="26" t="s">
        <v>378</v>
      </c>
      <c r="B130" s="12" t="s">
        <v>231</v>
      </c>
      <c r="C130" s="12" t="s">
        <v>242</v>
      </c>
      <c r="D130" s="27" t="s">
        <v>243</v>
      </c>
      <c r="E130" s="28" t="s">
        <v>115</v>
      </c>
      <c r="F130" s="29">
        <v>1500000</v>
      </c>
      <c r="G130" s="29">
        <v>0</v>
      </c>
      <c r="H130" s="29">
        <v>1500000</v>
      </c>
      <c r="I130" s="29">
        <v>1279539.54</v>
      </c>
      <c r="J130" s="7">
        <f t="shared" si="6"/>
        <v>0.85302635999999998</v>
      </c>
      <c r="K130" s="29">
        <v>14447.44</v>
      </c>
      <c r="L130" s="29">
        <v>0</v>
      </c>
      <c r="M130" s="29">
        <v>14447.44</v>
      </c>
      <c r="N130" s="7">
        <f t="shared" si="7"/>
        <v>1.1291124305545103E-2</v>
      </c>
      <c r="O130" s="29">
        <v>1265092.1000000001</v>
      </c>
      <c r="P130" s="8">
        <f t="shared" si="8"/>
        <v>-220460.45999999996</v>
      </c>
    </row>
    <row r="131" spans="1:16" x14ac:dyDescent="0.2">
      <c r="A131" s="26" t="s">
        <v>379</v>
      </c>
      <c r="B131" s="12" t="s">
        <v>231</v>
      </c>
      <c r="C131" s="12" t="s">
        <v>242</v>
      </c>
      <c r="D131" s="27" t="s">
        <v>243</v>
      </c>
      <c r="E131" s="28" t="s">
        <v>116</v>
      </c>
      <c r="F131" s="29">
        <v>85000</v>
      </c>
      <c r="G131" s="29">
        <v>0</v>
      </c>
      <c r="H131" s="29">
        <v>85000</v>
      </c>
      <c r="I131" s="29">
        <v>22491</v>
      </c>
      <c r="J131" s="7">
        <f t="shared" si="6"/>
        <v>0.2646</v>
      </c>
      <c r="K131" s="29">
        <v>22491</v>
      </c>
      <c r="L131" s="29">
        <v>0</v>
      </c>
      <c r="M131" s="29">
        <v>22491</v>
      </c>
      <c r="N131" s="7">
        <f t="shared" si="7"/>
        <v>1</v>
      </c>
      <c r="O131" s="29">
        <v>0</v>
      </c>
      <c r="P131" s="8">
        <f t="shared" si="8"/>
        <v>-62509</v>
      </c>
    </row>
    <row r="132" spans="1:16" x14ac:dyDescent="0.2">
      <c r="A132" s="26" t="s">
        <v>380</v>
      </c>
      <c r="B132" s="12" t="s">
        <v>231</v>
      </c>
      <c r="C132" s="12" t="s">
        <v>242</v>
      </c>
      <c r="D132" s="27" t="s">
        <v>243</v>
      </c>
      <c r="E132" s="28" t="s">
        <v>117</v>
      </c>
      <c r="F132" s="29">
        <v>0</v>
      </c>
      <c r="G132" s="29">
        <v>0</v>
      </c>
      <c r="H132" s="29">
        <v>0</v>
      </c>
      <c r="I132" s="29">
        <v>8835.7000000000007</v>
      </c>
      <c r="J132" s="7" t="str">
        <f t="shared" si="6"/>
        <v xml:space="preserve"> </v>
      </c>
      <c r="K132" s="29">
        <v>0</v>
      </c>
      <c r="L132" s="29">
        <v>0</v>
      </c>
      <c r="M132" s="29">
        <v>0</v>
      </c>
      <c r="N132" s="7">
        <f t="shared" si="7"/>
        <v>0</v>
      </c>
      <c r="O132" s="29">
        <v>8835.7000000000007</v>
      </c>
      <c r="P132" s="8">
        <f t="shared" si="8"/>
        <v>8835.7000000000007</v>
      </c>
    </row>
    <row r="133" spans="1:16" x14ac:dyDescent="0.2">
      <c r="A133" s="26" t="s">
        <v>381</v>
      </c>
      <c r="B133" s="12" t="s">
        <v>231</v>
      </c>
      <c r="C133" s="12" t="s">
        <v>242</v>
      </c>
      <c r="D133" s="27" t="s">
        <v>243</v>
      </c>
      <c r="E133" s="28" t="s">
        <v>118</v>
      </c>
      <c r="F133" s="29">
        <v>280000</v>
      </c>
      <c r="G133" s="29">
        <v>0</v>
      </c>
      <c r="H133" s="29">
        <v>280000</v>
      </c>
      <c r="I133" s="29">
        <v>276862.5</v>
      </c>
      <c r="J133" s="7">
        <f t="shared" si="6"/>
        <v>0.9887946428571428</v>
      </c>
      <c r="K133" s="29">
        <v>0</v>
      </c>
      <c r="L133" s="29">
        <v>0</v>
      </c>
      <c r="M133" s="29">
        <v>0</v>
      </c>
      <c r="N133" s="7">
        <f t="shared" si="7"/>
        <v>0</v>
      </c>
      <c r="O133" s="29">
        <v>276862.5</v>
      </c>
      <c r="P133" s="8">
        <f t="shared" si="8"/>
        <v>-3137.5</v>
      </c>
    </row>
    <row r="134" spans="1:16" x14ac:dyDescent="0.2">
      <c r="A134" s="30"/>
      <c r="B134" s="31"/>
      <c r="C134" s="31"/>
      <c r="D134" s="30"/>
      <c r="E134" s="35" t="s">
        <v>19</v>
      </c>
      <c r="F134" s="32">
        <f>SUBTOTAL(109,Tabla1[Previsiones Iniciales])</f>
        <v>319923101</v>
      </c>
      <c r="G134" s="32">
        <f>SUBTOTAL(109,Tabla1[Modificaciones])</f>
        <v>3441587.59</v>
      </c>
      <c r="H134" s="32">
        <f>SUBTOTAL(109,Tabla1[Previsiones Definitivas])</f>
        <v>323364688.58999997</v>
      </c>
      <c r="I134" s="32">
        <f>SUBTOTAL(109,Tabla1[Derechos Netos])</f>
        <v>144696635.0999999</v>
      </c>
      <c r="J134" s="33">
        <f>IF(H134=0," ",I134/H134)</f>
        <v>0.4474719726848822</v>
      </c>
      <c r="K134" s="32">
        <f>SUBTOTAL(109,Tabla1[Ingresos Realizados])</f>
        <v>56718340.630000018</v>
      </c>
      <c r="L134" s="32">
        <f>SUBTOTAL(109,Tabla1[Devoluciones de Ingresos])</f>
        <v>4643604.53</v>
      </c>
      <c r="M134" s="32">
        <f>SUBTOTAL(109,Tabla1[Recaudación Líquida])</f>
        <v>52074736.100000001</v>
      </c>
      <c r="N134" s="33">
        <f>IF(I134=0," ",M134/I134)</f>
        <v>0.35988906075121324</v>
      </c>
      <c r="O134" s="32">
        <f>SUBTOTAL(109,Tabla1[Pendiente de Cobro])</f>
        <v>92621898.999999955</v>
      </c>
      <c r="P134" s="34">
        <f>SUBTOTAL(109,Tabla1[Estado de Ejecución])</f>
        <v>-178668053.49000004</v>
      </c>
    </row>
    <row r="135" spans="1:16" x14ac:dyDescent="0.2">
      <c r="A135" s="30"/>
      <c r="B135" s="31"/>
      <c r="C135" s="31"/>
      <c r="D135" s="30"/>
      <c r="E135" s="37"/>
      <c r="F135" s="38"/>
      <c r="G135" s="38"/>
      <c r="H135" s="38"/>
      <c r="I135" s="38"/>
      <c r="J135" s="39"/>
      <c r="K135" s="38"/>
      <c r="L135" s="38"/>
      <c r="M135" s="38"/>
      <c r="N135" s="39"/>
      <c r="O135" s="38"/>
      <c r="P135" s="40"/>
    </row>
    <row r="136" spans="1:16" ht="25.5" x14ac:dyDescent="0.2">
      <c r="A136" s="3" t="s">
        <v>2</v>
      </c>
      <c r="B136" s="3" t="s">
        <v>16</v>
      </c>
      <c r="C136" s="3" t="s">
        <v>17</v>
      </c>
      <c r="D136" s="3" t="s">
        <v>18</v>
      </c>
      <c r="E136" s="4" t="s">
        <v>3</v>
      </c>
      <c r="F136" s="4" t="s">
        <v>4</v>
      </c>
      <c r="G136" s="3" t="s">
        <v>5</v>
      </c>
      <c r="H136" s="4" t="s">
        <v>6</v>
      </c>
      <c r="I136" s="4" t="s">
        <v>7</v>
      </c>
      <c r="J136" s="4" t="s">
        <v>8</v>
      </c>
      <c r="K136" s="4" t="s">
        <v>9</v>
      </c>
      <c r="L136" s="4" t="s">
        <v>10</v>
      </c>
      <c r="M136" s="4" t="s">
        <v>11</v>
      </c>
      <c r="N136" s="6" t="s">
        <v>12</v>
      </c>
      <c r="O136" s="4" t="s">
        <v>13</v>
      </c>
      <c r="P136" s="4" t="s">
        <v>14</v>
      </c>
    </row>
    <row r="137" spans="1:16" x14ac:dyDescent="0.2">
      <c r="A137" s="26" t="s">
        <v>386</v>
      </c>
      <c r="B137" s="12" t="str">
        <f t="shared" ref="B137:B155" si="9">LEFT(A137,1)</f>
        <v>6</v>
      </c>
      <c r="C137" s="12" t="str">
        <f t="shared" ref="C137:C155" si="10">LEFT(A137,2)</f>
        <v>60</v>
      </c>
      <c r="D137" s="27" t="str">
        <f t="shared" ref="D137:D155" si="11">LEFT(A137,3)</f>
        <v>603</v>
      </c>
      <c r="E137" s="28" t="s">
        <v>119</v>
      </c>
      <c r="F137" s="29">
        <v>10415275</v>
      </c>
      <c r="G137" s="29">
        <v>0</v>
      </c>
      <c r="H137" s="29">
        <v>10415275</v>
      </c>
      <c r="I137" s="29">
        <v>0</v>
      </c>
      <c r="J137" s="7">
        <f t="shared" ref="J137:J155" si="12">IF(H137=0," ",I137/H137)</f>
        <v>0</v>
      </c>
      <c r="K137" s="29">
        <v>0</v>
      </c>
      <c r="L137" s="29">
        <v>0</v>
      </c>
      <c r="M137" s="29">
        <v>0</v>
      </c>
      <c r="N137" s="7" t="str">
        <f t="shared" ref="N137:N156" si="13">IF(I137=0," ",M137/I137)</f>
        <v xml:space="preserve"> </v>
      </c>
      <c r="O137" s="29">
        <v>0</v>
      </c>
      <c r="P137" s="8">
        <f t="shared" ref="P137:P155" si="14">I137-H137</f>
        <v>-10415275</v>
      </c>
    </row>
    <row r="138" spans="1:16" x14ac:dyDescent="0.2">
      <c r="A138" s="26" t="s">
        <v>387</v>
      </c>
      <c r="B138" s="12" t="str">
        <f t="shared" si="9"/>
        <v>6</v>
      </c>
      <c r="C138" s="12" t="str">
        <f t="shared" si="10"/>
        <v>68</v>
      </c>
      <c r="D138" s="27" t="str">
        <f t="shared" si="11"/>
        <v>680</v>
      </c>
      <c r="E138" s="28" t="s">
        <v>167</v>
      </c>
      <c r="F138" s="29">
        <v>0</v>
      </c>
      <c r="G138" s="29">
        <v>1050567.1000000001</v>
      </c>
      <c r="H138" s="29">
        <v>1050567.1000000001</v>
      </c>
      <c r="I138" s="29">
        <v>8.84</v>
      </c>
      <c r="J138" s="7">
        <f t="shared" si="12"/>
        <v>8.4145029860539129E-6</v>
      </c>
      <c r="K138" s="29">
        <v>8.84</v>
      </c>
      <c r="L138" s="29">
        <v>0</v>
      </c>
      <c r="M138" s="29">
        <v>8.84</v>
      </c>
      <c r="N138" s="7">
        <f t="shared" si="13"/>
        <v>1</v>
      </c>
      <c r="O138" s="29">
        <v>0</v>
      </c>
      <c r="P138" s="8">
        <f t="shared" si="14"/>
        <v>-1050558.26</v>
      </c>
    </row>
    <row r="139" spans="1:16" x14ac:dyDescent="0.2">
      <c r="A139" s="26" t="s">
        <v>388</v>
      </c>
      <c r="B139" s="12" t="str">
        <f t="shared" si="9"/>
        <v>6</v>
      </c>
      <c r="C139" s="12" t="str">
        <f t="shared" si="10"/>
        <v>68</v>
      </c>
      <c r="D139" s="27" t="str">
        <f t="shared" si="11"/>
        <v>680</v>
      </c>
      <c r="E139" s="28" t="s">
        <v>168</v>
      </c>
      <c r="F139" s="29">
        <v>0</v>
      </c>
      <c r="G139" s="29">
        <v>0</v>
      </c>
      <c r="H139" s="29">
        <v>0</v>
      </c>
      <c r="I139" s="29">
        <v>27.37</v>
      </c>
      <c r="J139" s="7" t="str">
        <f t="shared" si="12"/>
        <v xml:space="preserve"> </v>
      </c>
      <c r="K139" s="29">
        <v>27.37</v>
      </c>
      <c r="L139" s="29">
        <v>0</v>
      </c>
      <c r="M139" s="29">
        <v>27.37</v>
      </c>
      <c r="N139" s="7">
        <f t="shared" si="13"/>
        <v>1</v>
      </c>
      <c r="O139" s="29">
        <v>0</v>
      </c>
      <c r="P139" s="8">
        <f t="shared" si="14"/>
        <v>27.37</v>
      </c>
    </row>
    <row r="140" spans="1:16" x14ac:dyDescent="0.2">
      <c r="A140" s="26" t="s">
        <v>389</v>
      </c>
      <c r="B140" s="12" t="str">
        <f t="shared" si="9"/>
        <v>7</v>
      </c>
      <c r="C140" s="12" t="str">
        <f t="shared" si="10"/>
        <v>72</v>
      </c>
      <c r="D140" s="27" t="str">
        <f t="shared" si="11"/>
        <v>720</v>
      </c>
      <c r="E140" s="28" t="s">
        <v>120</v>
      </c>
      <c r="F140" s="29">
        <v>1180388</v>
      </c>
      <c r="G140" s="29">
        <v>0</v>
      </c>
      <c r="H140" s="29">
        <v>1180388</v>
      </c>
      <c r="I140" s="29">
        <v>1414834.55</v>
      </c>
      <c r="J140" s="7">
        <f t="shared" si="12"/>
        <v>1.1986182085890402</v>
      </c>
      <c r="K140" s="29">
        <v>1414834.55</v>
      </c>
      <c r="L140" s="29">
        <v>0</v>
      </c>
      <c r="M140" s="29">
        <v>1414834.55</v>
      </c>
      <c r="N140" s="7">
        <f t="shared" si="13"/>
        <v>1</v>
      </c>
      <c r="O140" s="29">
        <v>0</v>
      </c>
      <c r="P140" s="8">
        <f t="shared" si="14"/>
        <v>234446.55000000005</v>
      </c>
    </row>
    <row r="141" spans="1:16" x14ac:dyDescent="0.2">
      <c r="A141" s="26" t="s">
        <v>390</v>
      </c>
      <c r="B141" s="12" t="str">
        <f t="shared" si="9"/>
        <v>7</v>
      </c>
      <c r="C141" s="12" t="str">
        <f t="shared" si="10"/>
        <v>72</v>
      </c>
      <c r="D141" s="27" t="str">
        <f t="shared" si="11"/>
        <v>720</v>
      </c>
      <c r="E141" s="28" t="s">
        <v>163</v>
      </c>
      <c r="F141" s="29">
        <v>0</v>
      </c>
      <c r="G141" s="29">
        <v>0</v>
      </c>
      <c r="H141" s="29">
        <v>0</v>
      </c>
      <c r="I141" s="29">
        <v>0</v>
      </c>
      <c r="J141" s="7" t="str">
        <f t="shared" si="12"/>
        <v xml:space="preserve"> </v>
      </c>
      <c r="K141" s="29">
        <v>0</v>
      </c>
      <c r="L141" s="29">
        <v>0</v>
      </c>
      <c r="M141" s="29">
        <v>0</v>
      </c>
      <c r="N141" s="7" t="str">
        <f t="shared" si="13"/>
        <v xml:space="preserve"> </v>
      </c>
      <c r="O141" s="29">
        <v>0</v>
      </c>
      <c r="P141" s="8">
        <f t="shared" si="14"/>
        <v>0</v>
      </c>
    </row>
    <row r="142" spans="1:16" x14ac:dyDescent="0.2">
      <c r="A142" s="26" t="s">
        <v>391</v>
      </c>
      <c r="B142" s="12" t="str">
        <f t="shared" si="9"/>
        <v>7</v>
      </c>
      <c r="C142" s="12" t="str">
        <f t="shared" si="10"/>
        <v>72</v>
      </c>
      <c r="D142" s="27" t="str">
        <f t="shared" si="11"/>
        <v>720</v>
      </c>
      <c r="E142" s="28" t="s">
        <v>121</v>
      </c>
      <c r="F142" s="29">
        <v>8594421</v>
      </c>
      <c r="G142" s="29">
        <v>0</v>
      </c>
      <c r="H142" s="29">
        <v>8594421</v>
      </c>
      <c r="I142" s="29">
        <v>0</v>
      </c>
      <c r="J142" s="7">
        <f t="shared" si="12"/>
        <v>0</v>
      </c>
      <c r="K142" s="29">
        <v>0</v>
      </c>
      <c r="L142" s="29">
        <v>0</v>
      </c>
      <c r="M142" s="29">
        <v>0</v>
      </c>
      <c r="N142" s="7" t="str">
        <f t="shared" si="13"/>
        <v xml:space="preserve"> </v>
      </c>
      <c r="O142" s="29">
        <v>0</v>
      </c>
      <c r="P142" s="8">
        <f t="shared" si="14"/>
        <v>-8594421</v>
      </c>
    </row>
    <row r="143" spans="1:16" x14ac:dyDescent="0.2">
      <c r="A143" s="26" t="s">
        <v>392</v>
      </c>
      <c r="B143" s="12" t="str">
        <f t="shared" ref="B143:B146" si="15">LEFT(A143,1)</f>
        <v>7</v>
      </c>
      <c r="C143" s="12" t="str">
        <f t="shared" ref="C143:C146" si="16">LEFT(A143,2)</f>
        <v>72</v>
      </c>
      <c r="D143" s="27" t="str">
        <f t="shared" ref="D143:D146" si="17">LEFT(A143,3)</f>
        <v>720</v>
      </c>
      <c r="E143" s="28" t="s">
        <v>155</v>
      </c>
      <c r="F143" s="29">
        <v>0</v>
      </c>
      <c r="G143" s="29">
        <v>0</v>
      </c>
      <c r="H143" s="29">
        <v>0</v>
      </c>
      <c r="I143" s="29">
        <v>0</v>
      </c>
      <c r="J143" s="7" t="str">
        <f t="shared" si="12"/>
        <v xml:space="preserve"> </v>
      </c>
      <c r="K143" s="29">
        <v>0</v>
      </c>
      <c r="L143" s="29">
        <v>0</v>
      </c>
      <c r="M143" s="29">
        <v>0</v>
      </c>
      <c r="N143" s="7" t="str">
        <f t="shared" si="13"/>
        <v xml:space="preserve"> </v>
      </c>
      <c r="O143" s="29">
        <v>0</v>
      </c>
      <c r="P143" s="8">
        <f t="shared" si="14"/>
        <v>0</v>
      </c>
    </row>
    <row r="144" spans="1:16" x14ac:dyDescent="0.2">
      <c r="A144" s="26" t="s">
        <v>393</v>
      </c>
      <c r="B144" s="12" t="str">
        <f t="shared" si="15"/>
        <v>7</v>
      </c>
      <c r="C144" s="12" t="str">
        <f t="shared" si="16"/>
        <v>72</v>
      </c>
      <c r="D144" s="27" t="str">
        <f t="shared" si="17"/>
        <v>720</v>
      </c>
      <c r="E144" s="28" t="s">
        <v>156</v>
      </c>
      <c r="F144" s="29">
        <v>0</v>
      </c>
      <c r="G144" s="29">
        <v>140000</v>
      </c>
      <c r="H144" s="29">
        <v>140000</v>
      </c>
      <c r="I144" s="29">
        <v>140000</v>
      </c>
      <c r="J144" s="7">
        <f t="shared" si="12"/>
        <v>1</v>
      </c>
      <c r="K144" s="29">
        <v>140000</v>
      </c>
      <c r="L144" s="29">
        <v>0</v>
      </c>
      <c r="M144" s="29">
        <v>140000</v>
      </c>
      <c r="N144" s="7">
        <f t="shared" si="13"/>
        <v>1</v>
      </c>
      <c r="O144" s="29">
        <v>0</v>
      </c>
      <c r="P144" s="8">
        <f t="shared" si="14"/>
        <v>0</v>
      </c>
    </row>
    <row r="145" spans="1:16" x14ac:dyDescent="0.2">
      <c r="A145" s="26" t="s">
        <v>394</v>
      </c>
      <c r="B145" s="12" t="str">
        <f t="shared" si="15"/>
        <v>7</v>
      </c>
      <c r="C145" s="12" t="str">
        <f t="shared" si="16"/>
        <v>72</v>
      </c>
      <c r="D145" s="27" t="str">
        <f t="shared" si="17"/>
        <v>720</v>
      </c>
      <c r="E145" s="28" t="s">
        <v>169</v>
      </c>
      <c r="F145" s="29">
        <v>0</v>
      </c>
      <c r="G145" s="29">
        <v>0</v>
      </c>
      <c r="H145" s="29">
        <v>0</v>
      </c>
      <c r="I145" s="29">
        <v>0</v>
      </c>
      <c r="J145" s="7" t="str">
        <f t="shared" si="12"/>
        <v xml:space="preserve"> </v>
      </c>
      <c r="K145" s="29">
        <v>0</v>
      </c>
      <c r="L145" s="29">
        <v>0</v>
      </c>
      <c r="M145" s="29">
        <v>0</v>
      </c>
      <c r="N145" s="7" t="str">
        <f t="shared" si="13"/>
        <v xml:space="preserve"> </v>
      </c>
      <c r="O145" s="29">
        <v>0</v>
      </c>
      <c r="P145" s="8">
        <f t="shared" si="14"/>
        <v>0</v>
      </c>
    </row>
    <row r="146" spans="1:16" x14ac:dyDescent="0.2">
      <c r="A146" s="26" t="s">
        <v>395</v>
      </c>
      <c r="B146" s="12" t="str">
        <f t="shared" si="15"/>
        <v>7</v>
      </c>
      <c r="C146" s="12" t="str">
        <f t="shared" si="16"/>
        <v>75</v>
      </c>
      <c r="D146" s="27" t="str">
        <f t="shared" si="17"/>
        <v>750</v>
      </c>
      <c r="E146" s="28" t="s">
        <v>157</v>
      </c>
      <c r="F146" s="29">
        <v>817815</v>
      </c>
      <c r="G146" s="29">
        <v>0</v>
      </c>
      <c r="H146" s="29">
        <v>817815</v>
      </c>
      <c r="I146" s="29">
        <v>0</v>
      </c>
      <c r="J146" s="7">
        <f t="shared" si="12"/>
        <v>0</v>
      </c>
      <c r="K146" s="29">
        <v>0</v>
      </c>
      <c r="L146" s="29">
        <v>0</v>
      </c>
      <c r="M146" s="29">
        <v>0</v>
      </c>
      <c r="N146" s="7" t="str">
        <f t="shared" si="13"/>
        <v xml:space="preserve"> </v>
      </c>
      <c r="O146" s="29">
        <v>0</v>
      </c>
      <c r="P146" s="8">
        <f t="shared" si="14"/>
        <v>-817815</v>
      </c>
    </row>
    <row r="147" spans="1:16" x14ac:dyDescent="0.2">
      <c r="A147" s="26" t="s">
        <v>396</v>
      </c>
      <c r="B147" s="12" t="str">
        <f t="shared" si="9"/>
        <v>7</v>
      </c>
      <c r="C147" s="12" t="str">
        <f t="shared" si="10"/>
        <v>75</v>
      </c>
      <c r="D147" s="27" t="str">
        <f t="shared" si="11"/>
        <v>750</v>
      </c>
      <c r="E147" s="28" t="s">
        <v>170</v>
      </c>
      <c r="F147" s="29">
        <v>0</v>
      </c>
      <c r="G147" s="29">
        <v>0</v>
      </c>
      <c r="H147" s="29">
        <v>0</v>
      </c>
      <c r="I147" s="29">
        <v>127622.19</v>
      </c>
      <c r="J147" s="7" t="str">
        <f t="shared" si="12"/>
        <v xml:space="preserve"> </v>
      </c>
      <c r="K147" s="29">
        <v>127622.19</v>
      </c>
      <c r="L147" s="29">
        <v>0</v>
      </c>
      <c r="M147" s="29">
        <v>127622.19</v>
      </c>
      <c r="N147" s="7">
        <f t="shared" si="13"/>
        <v>1</v>
      </c>
      <c r="O147" s="29">
        <v>0</v>
      </c>
      <c r="P147" s="8">
        <f t="shared" si="14"/>
        <v>127622.19</v>
      </c>
    </row>
    <row r="148" spans="1:16" x14ac:dyDescent="0.2">
      <c r="A148" s="26" t="s">
        <v>397</v>
      </c>
      <c r="B148" s="12" t="str">
        <f t="shared" si="9"/>
        <v>7</v>
      </c>
      <c r="C148" s="12" t="str">
        <f t="shared" si="10"/>
        <v>75</v>
      </c>
      <c r="D148" s="27" t="str">
        <f t="shared" si="11"/>
        <v>750</v>
      </c>
      <c r="E148" s="28" t="s">
        <v>122</v>
      </c>
      <c r="F148" s="29">
        <v>2452903</v>
      </c>
      <c r="G148" s="29">
        <v>0</v>
      </c>
      <c r="H148" s="29">
        <v>2452903</v>
      </c>
      <c r="I148" s="29">
        <v>356081.8</v>
      </c>
      <c r="J148" s="7">
        <f t="shared" si="12"/>
        <v>0.14516750152778157</v>
      </c>
      <c r="K148" s="29">
        <v>356081.8</v>
      </c>
      <c r="L148" s="29">
        <v>0</v>
      </c>
      <c r="M148" s="29">
        <v>356081.8</v>
      </c>
      <c r="N148" s="7">
        <f t="shared" si="13"/>
        <v>1</v>
      </c>
      <c r="O148" s="29">
        <v>0</v>
      </c>
      <c r="P148" s="8">
        <f t="shared" si="14"/>
        <v>-2096821.2</v>
      </c>
    </row>
    <row r="149" spans="1:16" x14ac:dyDescent="0.2">
      <c r="A149" s="26" t="s">
        <v>398</v>
      </c>
      <c r="B149" s="12" t="str">
        <f t="shared" si="9"/>
        <v>7</v>
      </c>
      <c r="C149" s="12" t="str">
        <f t="shared" si="10"/>
        <v>75</v>
      </c>
      <c r="D149" s="27" t="str">
        <f t="shared" si="11"/>
        <v>750</v>
      </c>
      <c r="E149" s="28" t="s">
        <v>123</v>
      </c>
      <c r="F149" s="29">
        <v>905000</v>
      </c>
      <c r="G149" s="29">
        <v>0</v>
      </c>
      <c r="H149" s="29">
        <v>905000</v>
      </c>
      <c r="I149" s="29">
        <v>904201.19</v>
      </c>
      <c r="J149" s="7">
        <f t="shared" si="12"/>
        <v>0.99911733701657457</v>
      </c>
      <c r="K149" s="29">
        <v>904201.19</v>
      </c>
      <c r="L149" s="29">
        <v>0</v>
      </c>
      <c r="M149" s="29">
        <v>904201.19</v>
      </c>
      <c r="N149" s="7">
        <f t="shared" si="13"/>
        <v>1</v>
      </c>
      <c r="O149" s="29">
        <v>0</v>
      </c>
      <c r="P149" s="8">
        <f t="shared" si="14"/>
        <v>-798.81000000005588</v>
      </c>
    </row>
    <row r="150" spans="1:16" x14ac:dyDescent="0.2">
      <c r="A150" s="26" t="s">
        <v>399</v>
      </c>
      <c r="B150" s="12" t="str">
        <f t="shared" si="9"/>
        <v>7</v>
      </c>
      <c r="C150" s="12" t="str">
        <f t="shared" si="10"/>
        <v>75</v>
      </c>
      <c r="D150" s="27" t="str">
        <f t="shared" si="11"/>
        <v>750</v>
      </c>
      <c r="E150" s="28" t="s">
        <v>158</v>
      </c>
      <c r="F150" s="29">
        <v>0</v>
      </c>
      <c r="G150" s="29">
        <v>0</v>
      </c>
      <c r="H150" s="29">
        <v>0</v>
      </c>
      <c r="I150" s="29">
        <v>0</v>
      </c>
      <c r="J150" s="7" t="str">
        <f t="shared" si="12"/>
        <v xml:space="preserve"> </v>
      </c>
      <c r="K150" s="29">
        <v>0</v>
      </c>
      <c r="L150" s="29">
        <v>0</v>
      </c>
      <c r="M150" s="29">
        <v>0</v>
      </c>
      <c r="N150" s="7" t="str">
        <f t="shared" si="13"/>
        <v xml:space="preserve"> </v>
      </c>
      <c r="O150" s="29">
        <v>0</v>
      </c>
      <c r="P150" s="8">
        <f t="shared" si="14"/>
        <v>0</v>
      </c>
    </row>
    <row r="151" spans="1:16" x14ac:dyDescent="0.2">
      <c r="A151" s="26" t="s">
        <v>400</v>
      </c>
      <c r="B151" s="12" t="str">
        <f t="shared" si="9"/>
        <v>7</v>
      </c>
      <c r="C151" s="12" t="str">
        <f t="shared" si="10"/>
        <v>75</v>
      </c>
      <c r="D151" s="27" t="str">
        <f t="shared" si="11"/>
        <v>750</v>
      </c>
      <c r="E151" s="28" t="s">
        <v>124</v>
      </c>
      <c r="F151" s="29">
        <v>717252</v>
      </c>
      <c r="G151" s="29">
        <v>0</v>
      </c>
      <c r="H151" s="29">
        <v>717252</v>
      </c>
      <c r="I151" s="29">
        <v>0</v>
      </c>
      <c r="J151" s="7">
        <f t="shared" si="12"/>
        <v>0</v>
      </c>
      <c r="K151" s="29">
        <v>0</v>
      </c>
      <c r="L151" s="29">
        <v>0</v>
      </c>
      <c r="M151" s="29">
        <v>0</v>
      </c>
      <c r="N151" s="7" t="str">
        <f t="shared" si="13"/>
        <v xml:space="preserve"> </v>
      </c>
      <c r="O151" s="29">
        <v>0</v>
      </c>
      <c r="P151" s="8">
        <f t="shared" si="14"/>
        <v>-717252</v>
      </c>
    </row>
    <row r="152" spans="1:16" x14ac:dyDescent="0.2">
      <c r="A152" s="26" t="s">
        <v>401</v>
      </c>
      <c r="B152" s="12" t="str">
        <f t="shared" si="9"/>
        <v>7</v>
      </c>
      <c r="C152" s="12" t="str">
        <f t="shared" si="10"/>
        <v>75</v>
      </c>
      <c r="D152" s="27" t="str">
        <f t="shared" si="11"/>
        <v>750</v>
      </c>
      <c r="E152" s="28" t="s">
        <v>402</v>
      </c>
      <c r="F152" s="29">
        <v>0</v>
      </c>
      <c r="G152" s="29">
        <v>0</v>
      </c>
      <c r="H152" s="29">
        <v>0</v>
      </c>
      <c r="I152" s="29">
        <v>0</v>
      </c>
      <c r="J152" s="7" t="str">
        <f t="shared" si="12"/>
        <v xml:space="preserve"> </v>
      </c>
      <c r="K152" s="29">
        <v>0</v>
      </c>
      <c r="L152" s="29">
        <v>0</v>
      </c>
      <c r="M152" s="29">
        <v>0</v>
      </c>
      <c r="N152" s="7" t="str">
        <f t="shared" si="13"/>
        <v xml:space="preserve"> </v>
      </c>
      <c r="O152" s="29">
        <v>0</v>
      </c>
      <c r="P152" s="8">
        <f t="shared" si="14"/>
        <v>0</v>
      </c>
    </row>
    <row r="153" spans="1:16" x14ac:dyDescent="0.2">
      <c r="A153" s="26" t="s">
        <v>403</v>
      </c>
      <c r="B153" s="12" t="str">
        <f t="shared" si="9"/>
        <v>7</v>
      </c>
      <c r="C153" s="12" t="str">
        <f t="shared" si="10"/>
        <v>76</v>
      </c>
      <c r="D153" s="27" t="str">
        <f t="shared" si="11"/>
        <v>766</v>
      </c>
      <c r="E153" s="28" t="s">
        <v>404</v>
      </c>
      <c r="F153" s="29">
        <v>0</v>
      </c>
      <c r="G153" s="29">
        <v>0</v>
      </c>
      <c r="H153" s="29">
        <v>0</v>
      </c>
      <c r="I153" s="29">
        <v>120000</v>
      </c>
      <c r="J153" s="7" t="str">
        <f t="shared" si="12"/>
        <v xml:space="preserve"> </v>
      </c>
      <c r="K153" s="29">
        <v>120000</v>
      </c>
      <c r="L153" s="29">
        <v>0</v>
      </c>
      <c r="M153" s="29">
        <v>120000</v>
      </c>
      <c r="N153" s="7">
        <f t="shared" si="13"/>
        <v>1</v>
      </c>
      <c r="O153" s="29">
        <v>0</v>
      </c>
      <c r="P153" s="8">
        <f t="shared" si="14"/>
        <v>120000</v>
      </c>
    </row>
    <row r="154" spans="1:16" x14ac:dyDescent="0.2">
      <c r="A154" s="26" t="s">
        <v>405</v>
      </c>
      <c r="B154" s="12" t="str">
        <f t="shared" si="9"/>
        <v>7</v>
      </c>
      <c r="C154" s="12" t="str">
        <f t="shared" si="10"/>
        <v>77</v>
      </c>
      <c r="D154" s="27" t="str">
        <f t="shared" si="11"/>
        <v>770</v>
      </c>
      <c r="E154" s="28" t="s">
        <v>125</v>
      </c>
      <c r="F154" s="29">
        <v>40000</v>
      </c>
      <c r="G154" s="29">
        <v>0</v>
      </c>
      <c r="H154" s="29">
        <v>40000</v>
      </c>
      <c r="I154" s="29">
        <v>0</v>
      </c>
      <c r="J154" s="7">
        <f t="shared" si="12"/>
        <v>0</v>
      </c>
      <c r="K154" s="29">
        <v>0</v>
      </c>
      <c r="L154" s="29">
        <v>0</v>
      </c>
      <c r="M154" s="29">
        <v>0</v>
      </c>
      <c r="N154" s="7" t="str">
        <f t="shared" si="13"/>
        <v xml:space="preserve"> </v>
      </c>
      <c r="O154" s="29">
        <v>0</v>
      </c>
      <c r="P154" s="8">
        <f t="shared" si="14"/>
        <v>-40000</v>
      </c>
    </row>
    <row r="155" spans="1:16" x14ac:dyDescent="0.2">
      <c r="A155" s="26" t="s">
        <v>406</v>
      </c>
      <c r="B155" s="12" t="str">
        <f t="shared" si="9"/>
        <v>7</v>
      </c>
      <c r="C155" s="12" t="str">
        <f t="shared" si="10"/>
        <v>79</v>
      </c>
      <c r="D155" s="27" t="str">
        <f t="shared" si="11"/>
        <v>797</v>
      </c>
      <c r="E155" s="28" t="s">
        <v>108</v>
      </c>
      <c r="F155" s="29">
        <v>543207</v>
      </c>
      <c r="G155" s="29">
        <v>0</v>
      </c>
      <c r="H155" s="29">
        <v>543207</v>
      </c>
      <c r="I155" s="29">
        <v>0</v>
      </c>
      <c r="J155" s="7">
        <f t="shared" si="12"/>
        <v>0</v>
      </c>
      <c r="K155" s="29">
        <v>0</v>
      </c>
      <c r="L155" s="29">
        <v>0</v>
      </c>
      <c r="M155" s="29">
        <v>0</v>
      </c>
      <c r="N155" s="7" t="str">
        <f t="shared" si="13"/>
        <v xml:space="preserve"> </v>
      </c>
      <c r="O155" s="29">
        <v>0</v>
      </c>
      <c r="P155" s="8">
        <f t="shared" si="14"/>
        <v>-543207</v>
      </c>
    </row>
    <row r="156" spans="1:16" x14ac:dyDescent="0.2">
      <c r="A156" s="30"/>
      <c r="B156" s="31"/>
      <c r="C156" s="31"/>
      <c r="D156" s="30"/>
      <c r="E156" s="35" t="s">
        <v>20</v>
      </c>
      <c r="F156" s="32">
        <f>SUBTOTAL(109,F137:F155)</f>
        <v>25666261</v>
      </c>
      <c r="G156" s="32">
        <f>SUBTOTAL(109,G137:G155)</f>
        <v>1190567.1000000001</v>
      </c>
      <c r="H156" s="32">
        <f>SUBTOTAL(109,H137:H155)</f>
        <v>26856828.100000001</v>
      </c>
      <c r="I156" s="32">
        <f>SUBTOTAL(109,I137:I155)</f>
        <v>3062775.94</v>
      </c>
      <c r="J156" s="33">
        <f>IF(H156=0," ",I156/H156)</f>
        <v>0.11404086620340693</v>
      </c>
      <c r="K156" s="32">
        <f>SUBTOTAL(109,K137:K155)</f>
        <v>3062775.94</v>
      </c>
      <c r="L156" s="32">
        <f>SUBTOTAL(109,L137:L155)</f>
        <v>0</v>
      </c>
      <c r="M156" s="32">
        <f>SUBTOTAL(109,M137:M155)</f>
        <v>3062775.94</v>
      </c>
      <c r="N156" s="10">
        <f t="shared" si="13"/>
        <v>1</v>
      </c>
      <c r="O156" s="32">
        <f>SUBTOTAL(109,O137:O155)</f>
        <v>0</v>
      </c>
      <c r="P156" s="34">
        <f>SUBTOTAL(109,P137:P155)</f>
        <v>-23794052.159999996</v>
      </c>
    </row>
    <row r="158" spans="1:16" ht="25.5" x14ac:dyDescent="0.2">
      <c r="A158" s="3" t="s">
        <v>2</v>
      </c>
      <c r="B158" s="3" t="s">
        <v>16</v>
      </c>
      <c r="C158" s="3" t="s">
        <v>17</v>
      </c>
      <c r="D158" s="3" t="s">
        <v>18</v>
      </c>
      <c r="E158" s="4" t="s">
        <v>3</v>
      </c>
      <c r="F158" s="4" t="s">
        <v>4</v>
      </c>
      <c r="G158" s="3" t="s">
        <v>5</v>
      </c>
      <c r="H158" s="4" t="s">
        <v>6</v>
      </c>
      <c r="I158" s="4" t="s">
        <v>7</v>
      </c>
      <c r="J158" s="4" t="s">
        <v>8</v>
      </c>
      <c r="K158" s="4" t="s">
        <v>9</v>
      </c>
      <c r="L158" s="4" t="s">
        <v>10</v>
      </c>
      <c r="M158" s="4" t="s">
        <v>11</v>
      </c>
      <c r="N158" s="6" t="s">
        <v>12</v>
      </c>
      <c r="O158" s="4" t="s">
        <v>13</v>
      </c>
      <c r="P158" s="4" t="s">
        <v>14</v>
      </c>
    </row>
    <row r="159" spans="1:16" x14ac:dyDescent="0.2">
      <c r="A159" s="26" t="s">
        <v>407</v>
      </c>
      <c r="B159" s="12" t="s">
        <v>244</v>
      </c>
      <c r="C159" s="12" t="s">
        <v>245</v>
      </c>
      <c r="D159" s="27" t="s">
        <v>246</v>
      </c>
      <c r="E159" s="28" t="s">
        <v>159</v>
      </c>
      <c r="F159" s="29">
        <v>100000</v>
      </c>
      <c r="G159" s="29">
        <v>0</v>
      </c>
      <c r="H159" s="29">
        <v>100000</v>
      </c>
      <c r="I159" s="29">
        <v>0</v>
      </c>
      <c r="J159" s="7">
        <f t="shared" ref="J159:J166" si="18">IF(H159=0," ",I159/H159)</f>
        <v>0</v>
      </c>
      <c r="K159" s="29">
        <v>0</v>
      </c>
      <c r="L159" s="29">
        <v>0</v>
      </c>
      <c r="M159" s="29">
        <v>0</v>
      </c>
      <c r="N159" s="7" t="str">
        <f t="shared" ref="N159:N167" si="19">IF(I159=0," ",M159/I159)</f>
        <v xml:space="preserve"> </v>
      </c>
      <c r="O159" s="29">
        <v>0</v>
      </c>
      <c r="P159" s="8">
        <f t="shared" ref="P159:P166" si="20">I159-H159</f>
        <v>-100000</v>
      </c>
    </row>
    <row r="160" spans="1:16" x14ac:dyDescent="0.2">
      <c r="A160" s="26" t="s">
        <v>408</v>
      </c>
      <c r="B160" s="12" t="s">
        <v>244</v>
      </c>
      <c r="C160" s="12" t="s">
        <v>247</v>
      </c>
      <c r="D160" s="27" t="s">
        <v>248</v>
      </c>
      <c r="E160" s="28" t="s">
        <v>126</v>
      </c>
      <c r="F160" s="29">
        <v>47500</v>
      </c>
      <c r="G160" s="29">
        <v>0</v>
      </c>
      <c r="H160" s="29">
        <v>47500</v>
      </c>
      <c r="I160" s="29">
        <v>132.38999999999999</v>
      </c>
      <c r="J160" s="7">
        <f t="shared" si="18"/>
        <v>2.7871578947368417E-3</v>
      </c>
      <c r="K160" s="29">
        <v>74.45</v>
      </c>
      <c r="L160" s="29">
        <v>0</v>
      </c>
      <c r="M160" s="29">
        <v>74.45</v>
      </c>
      <c r="N160" s="7">
        <f t="shared" si="19"/>
        <v>0.56235365208852639</v>
      </c>
      <c r="O160" s="29">
        <v>57.94</v>
      </c>
      <c r="P160" s="8">
        <f t="shared" si="20"/>
        <v>-47367.61</v>
      </c>
    </row>
    <row r="161" spans="1:16" x14ac:dyDescent="0.2">
      <c r="A161" s="26" t="s">
        <v>409</v>
      </c>
      <c r="B161" s="12" t="s">
        <v>244</v>
      </c>
      <c r="C161" s="12" t="s">
        <v>247</v>
      </c>
      <c r="D161" s="27" t="s">
        <v>248</v>
      </c>
      <c r="E161" s="28" t="s">
        <v>127</v>
      </c>
      <c r="F161" s="29">
        <v>170000</v>
      </c>
      <c r="G161" s="29">
        <v>0</v>
      </c>
      <c r="H161" s="29">
        <v>170000</v>
      </c>
      <c r="I161" s="29">
        <v>35413.15</v>
      </c>
      <c r="J161" s="7">
        <f t="shared" si="18"/>
        <v>0.20831264705882355</v>
      </c>
      <c r="K161" s="29">
        <v>35413.15</v>
      </c>
      <c r="L161" s="29">
        <v>0</v>
      </c>
      <c r="M161" s="29">
        <v>35413.15</v>
      </c>
      <c r="N161" s="7">
        <f t="shared" si="19"/>
        <v>1</v>
      </c>
      <c r="O161" s="29">
        <v>0</v>
      </c>
      <c r="P161" s="8">
        <f t="shared" si="20"/>
        <v>-134586.85</v>
      </c>
    </row>
    <row r="162" spans="1:16" x14ac:dyDescent="0.2">
      <c r="A162" s="26" t="s">
        <v>410</v>
      </c>
      <c r="B162" s="12" t="s">
        <v>244</v>
      </c>
      <c r="C162" s="12" t="s">
        <v>247</v>
      </c>
      <c r="D162" s="27" t="s">
        <v>249</v>
      </c>
      <c r="E162" s="28" t="s">
        <v>128</v>
      </c>
      <c r="F162" s="29">
        <v>445000</v>
      </c>
      <c r="G162" s="29">
        <v>0</v>
      </c>
      <c r="H162" s="29">
        <v>445000</v>
      </c>
      <c r="I162" s="29">
        <v>5609.47</v>
      </c>
      <c r="J162" s="7">
        <f t="shared" si="18"/>
        <v>1.2605550561797754E-2</v>
      </c>
      <c r="K162" s="29">
        <v>0</v>
      </c>
      <c r="L162" s="29">
        <v>0</v>
      </c>
      <c r="M162" s="29">
        <v>0</v>
      </c>
      <c r="N162" s="7">
        <f t="shared" si="19"/>
        <v>0</v>
      </c>
      <c r="O162" s="29">
        <v>5609.47</v>
      </c>
      <c r="P162" s="8">
        <f t="shared" si="20"/>
        <v>-439390.53</v>
      </c>
    </row>
    <row r="163" spans="1:16" x14ac:dyDescent="0.2">
      <c r="A163" s="26" t="s">
        <v>411</v>
      </c>
      <c r="B163" s="12" t="s">
        <v>244</v>
      </c>
      <c r="C163" s="12" t="s">
        <v>247</v>
      </c>
      <c r="D163" s="27" t="s">
        <v>249</v>
      </c>
      <c r="E163" s="28" t="s">
        <v>129</v>
      </c>
      <c r="F163" s="29">
        <v>400000</v>
      </c>
      <c r="G163" s="29">
        <v>0</v>
      </c>
      <c r="H163" s="29">
        <v>400000</v>
      </c>
      <c r="I163" s="29">
        <v>30950.04</v>
      </c>
      <c r="J163" s="7">
        <f t="shared" si="18"/>
        <v>7.7375100000000002E-2</v>
      </c>
      <c r="K163" s="29">
        <v>30950.04</v>
      </c>
      <c r="L163" s="29">
        <v>0</v>
      </c>
      <c r="M163" s="29">
        <v>30950.04</v>
      </c>
      <c r="N163" s="7">
        <f t="shared" si="19"/>
        <v>1</v>
      </c>
      <c r="O163" s="29">
        <v>0</v>
      </c>
      <c r="P163" s="8">
        <f t="shared" si="20"/>
        <v>-369049.96</v>
      </c>
    </row>
    <row r="164" spans="1:16" x14ac:dyDescent="0.2">
      <c r="A164" s="26" t="s">
        <v>412</v>
      </c>
      <c r="B164" s="12" t="s">
        <v>244</v>
      </c>
      <c r="C164" s="12" t="s">
        <v>250</v>
      </c>
      <c r="D164" s="27" t="s">
        <v>251</v>
      </c>
      <c r="E164" s="28" t="s">
        <v>130</v>
      </c>
      <c r="F164" s="29">
        <v>0</v>
      </c>
      <c r="G164" s="29">
        <v>4489210.28</v>
      </c>
      <c r="H164" s="29">
        <v>4489210.28</v>
      </c>
      <c r="I164" s="29">
        <v>0</v>
      </c>
      <c r="J164" s="7">
        <f t="shared" si="18"/>
        <v>0</v>
      </c>
      <c r="K164" s="29">
        <v>0</v>
      </c>
      <c r="L164" s="29">
        <v>0</v>
      </c>
      <c r="M164" s="29">
        <v>0</v>
      </c>
      <c r="N164" s="7" t="str">
        <f t="shared" si="19"/>
        <v xml:space="preserve"> </v>
      </c>
      <c r="O164" s="29">
        <v>0</v>
      </c>
      <c r="P164" s="8">
        <f t="shared" si="20"/>
        <v>-4489210.28</v>
      </c>
    </row>
    <row r="165" spans="1:16" x14ac:dyDescent="0.2">
      <c r="A165" s="26" t="s">
        <v>413</v>
      </c>
      <c r="B165" s="12" t="s">
        <v>244</v>
      </c>
      <c r="C165" s="12" t="s">
        <v>250</v>
      </c>
      <c r="D165" s="27" t="s">
        <v>251</v>
      </c>
      <c r="E165" s="28" t="s">
        <v>131</v>
      </c>
      <c r="F165" s="29">
        <v>0</v>
      </c>
      <c r="G165" s="29">
        <v>17554484.199999999</v>
      </c>
      <c r="H165" s="29">
        <v>17554484.199999999</v>
      </c>
      <c r="I165" s="29">
        <v>0</v>
      </c>
      <c r="J165" s="7">
        <f t="shared" si="18"/>
        <v>0</v>
      </c>
      <c r="K165" s="29">
        <v>0</v>
      </c>
      <c r="L165" s="29">
        <v>0</v>
      </c>
      <c r="M165" s="29">
        <v>0</v>
      </c>
      <c r="N165" s="7" t="str">
        <f t="shared" si="19"/>
        <v xml:space="preserve"> </v>
      </c>
      <c r="O165" s="29">
        <v>0</v>
      </c>
      <c r="P165" s="8">
        <f t="shared" si="20"/>
        <v>-17554484.199999999</v>
      </c>
    </row>
    <row r="166" spans="1:16" x14ac:dyDescent="0.2">
      <c r="A166" s="26" t="s">
        <v>414</v>
      </c>
      <c r="B166" s="12" t="s">
        <v>252</v>
      </c>
      <c r="C166" s="12" t="s">
        <v>253</v>
      </c>
      <c r="D166" s="27" t="s">
        <v>254</v>
      </c>
      <c r="E166" s="28" t="s">
        <v>132</v>
      </c>
      <c r="F166" s="29">
        <v>14700000</v>
      </c>
      <c r="G166" s="29">
        <v>0</v>
      </c>
      <c r="H166" s="29">
        <v>14700000</v>
      </c>
      <c r="I166" s="29">
        <v>0</v>
      </c>
      <c r="J166" s="7">
        <f t="shared" si="18"/>
        <v>0</v>
      </c>
      <c r="K166" s="29">
        <v>0</v>
      </c>
      <c r="L166" s="29">
        <v>0</v>
      </c>
      <c r="M166" s="29">
        <v>0</v>
      </c>
      <c r="N166" s="7" t="str">
        <f t="shared" si="19"/>
        <v xml:space="preserve"> </v>
      </c>
      <c r="O166" s="29">
        <v>0</v>
      </c>
      <c r="P166" s="8">
        <f t="shared" si="20"/>
        <v>-14700000</v>
      </c>
    </row>
    <row r="167" spans="1:16" x14ac:dyDescent="0.2">
      <c r="A167" s="30"/>
      <c r="B167" s="31"/>
      <c r="C167" s="31"/>
      <c r="D167" s="30"/>
      <c r="E167" s="35" t="s">
        <v>21</v>
      </c>
      <c r="F167" s="32">
        <f>SUBTOTAL(109,Tabla3[Previsiones Iniciales])</f>
        <v>15862500</v>
      </c>
      <c r="G167" s="32">
        <f>SUBTOTAL(109,Tabla3[Modificaciones])</f>
        <v>22043694.48</v>
      </c>
      <c r="H167" s="32">
        <f>SUBTOTAL(109,Tabla3[Previsiones Definitivas])</f>
        <v>37906194.480000004</v>
      </c>
      <c r="I167" s="32">
        <f>SUBTOTAL(109,Tabla3[Derechos Netos])</f>
        <v>72105.05</v>
      </c>
      <c r="J167" s="33">
        <f>IF(H167=0," ",I167/H167)</f>
        <v>1.9021970152673579E-3</v>
      </c>
      <c r="K167" s="32">
        <f>SUBTOTAL(109,Tabla3[Ingresos Realizados])</f>
        <v>66437.64</v>
      </c>
      <c r="L167" s="32">
        <f>SUBTOTAL(109,Tabla3[Devoluciones de Ingresos])</f>
        <v>0</v>
      </c>
      <c r="M167" s="32">
        <f>SUBTOTAL(109,Tabla3[Recaudación Líquida])</f>
        <v>66437.64</v>
      </c>
      <c r="N167" s="10">
        <f t="shared" si="19"/>
        <v>0.92140065085593859</v>
      </c>
      <c r="O167" s="32">
        <f>SUBTOTAL(109,Tabla3[Pendiente de Cobro])</f>
        <v>5667.41</v>
      </c>
      <c r="P167" s="34">
        <f>SUBTOTAL(109,Tabla3[Estado de Ejecución])</f>
        <v>-37834089.43</v>
      </c>
    </row>
    <row r="169" spans="1:16" x14ac:dyDescent="0.2">
      <c r="A169" s="13"/>
      <c r="B169" s="13"/>
      <c r="C169" s="13"/>
      <c r="D169" s="13"/>
      <c r="E169" s="36" t="s">
        <v>22</v>
      </c>
      <c r="F169" s="9">
        <f>Tabla1[[#Totals],[Previsiones Iniciales]]+F156+Tabla3[[#Totals],[Previsiones Iniciales]]</f>
        <v>361451862</v>
      </c>
      <c r="G169" s="9">
        <f>Tabla1[[#Totals],[Modificaciones]]+G156+Tabla3[[#Totals],[Modificaciones]]</f>
        <v>26675849.170000002</v>
      </c>
      <c r="H169" s="9">
        <f>Tabla1[[#Totals],[Previsiones Definitivas]]+H156+Tabla3[[#Totals],[Previsiones Definitivas]]</f>
        <v>388127711.17000002</v>
      </c>
      <c r="I169" s="9">
        <f>Tabla1[[#Totals],[Derechos Netos]]+I156+Tabla3[[#Totals],[Derechos Netos]]</f>
        <v>147831516.08999991</v>
      </c>
      <c r="J169" s="33">
        <f>IF(H169=0," ",I169/H169)</f>
        <v>0.38088369326778032</v>
      </c>
      <c r="K169" s="9">
        <f>Tabla1[[#Totals],[Ingresos Realizados]]+K156+Tabla3[[#Totals],[Ingresos Realizados]]</f>
        <v>59847554.210000016</v>
      </c>
      <c r="L169" s="9">
        <f>Tabla1[[#Totals],[Devoluciones de Ingresos]]+L156+Tabla3[[#Totals],[Devoluciones de Ingresos]]</f>
        <v>4643604.53</v>
      </c>
      <c r="M169" s="9">
        <f>Tabla1[[#Totals],[Recaudación Líquida]]+M156+Tabla3[[#Totals],[Recaudación Líquida]]</f>
        <v>55203949.68</v>
      </c>
      <c r="N169" s="33">
        <f t="shared" ref="N169" si="21">IF(I169=0," ",M169/I169)</f>
        <v>0.37342476854794482</v>
      </c>
      <c r="O169" s="9">
        <f>Tabla1[[#Totals],[Pendiente de Cobro]]+O156+Tabla3[[#Totals],[Pendiente de Cobro]]</f>
        <v>92627566.409999952</v>
      </c>
      <c r="P169" s="9">
        <f t="shared" ref="P169" si="22">I169-H169</f>
        <v>-240296195.0800001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56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ABRIL 24</vt:lpstr>
      <vt:lpstr>'EJECUCIÓN INGRESOS 30 ABRIL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2024-05-02T12:34:26Z</cp:lastPrinted>
  <dcterms:created xsi:type="dcterms:W3CDTF">2016-04-19T12:01:28Z</dcterms:created>
  <dcterms:modified xsi:type="dcterms:W3CDTF">2024-05-03T10:01:54Z</dcterms:modified>
</cp:coreProperties>
</file>